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1600" windowHeight="8745" tabRatio="745" activeTab="0"/>
  </bookViews>
  <sheets>
    <sheet name="1 příjmy " sheetId="1" r:id="rId1"/>
    <sheet name="2 dotace" sheetId="2" r:id="rId2"/>
    <sheet name="3 výdaje " sheetId="3" r:id="rId3"/>
    <sheet name="4 investice" sheetId="4" r:id="rId4"/>
    <sheet name="5 ZČ SF" sheetId="5" r:id="rId5"/>
    <sheet name="6 ZČ odbory" sheetId="6" r:id="rId6"/>
    <sheet name="7 ZČ celkem" sheetId="7" r:id="rId7"/>
    <sheet name="8 PO" sheetId="8" r:id="rId8"/>
    <sheet name="List3" sheetId="9" state="hidden" r:id="rId9"/>
    <sheet name="9 příděly do fondů PO" sheetId="10" r:id="rId10"/>
    <sheet name="List1" sheetId="11" state="hidden" r:id="rId11"/>
    <sheet name="10 odměňování zastupitelů" sheetId="12" r:id="rId12"/>
    <sheet name="List2" sheetId="13" state="hidden" r:id="rId13"/>
    <sheet name="11 přehled o pohybu majetku" sheetId="14" r:id="rId14"/>
    <sheet name="List4" sheetId="15" state="hidden" r:id="rId15"/>
    <sheet name="12 přehled o pohybu majetku PO" sheetId="16" r:id="rId16"/>
    <sheet name="13 vyúčtování fin vztahů" sheetId="17" r:id="rId17"/>
  </sheets>
  <definedNames>
    <definedName name="_xlnm.Print_Area" localSheetId="0">'1 příjmy '!$A$1:$F$41</definedName>
    <definedName name="_xlnm.Print_Area" localSheetId="15">'12 přehled o pohybu majetku PO'!$A$1:$M$13</definedName>
    <definedName name="_xlnm.Print_Area" localSheetId="16">'13 vyúčtování fin vztahů'!$A$1:$B$86</definedName>
    <definedName name="_xlnm.Print_Area" localSheetId="1">'2 dotace'!$A$1:$G$90</definedName>
    <definedName name="_xlnm.Print_Area" localSheetId="3">'4 investice'!$A$1:$E$202</definedName>
    <definedName name="_xlnm.Print_Area" localSheetId="4">'5 ZČ SF'!$A$1:$BF$41</definedName>
    <definedName name="_xlnm.Print_Area" localSheetId="5">'6 ZČ odbory'!$A$1:$R$100</definedName>
    <definedName name="_xlnm.Print_Area" localSheetId="7">'8 PO'!$A$1:$P$35</definedName>
  </definedNames>
  <calcPr fullCalcOnLoad="1"/>
</workbook>
</file>

<file path=xl/sharedStrings.xml><?xml version="1.0" encoding="utf-8"?>
<sst xmlns="http://schemas.openxmlformats.org/spreadsheetml/2006/main" count="1433" uniqueCount="779">
  <si>
    <t>Správní poplatky</t>
  </si>
  <si>
    <t>Pobytové poplatky</t>
  </si>
  <si>
    <t xml:space="preserve">Třída  1  C E L K E M   </t>
  </si>
  <si>
    <t>Příjmy z úroků</t>
  </si>
  <si>
    <t>Třída 2   C E L K E M</t>
  </si>
  <si>
    <t xml:space="preserve">C E L K E M    P Ř Í J M Y  </t>
  </si>
  <si>
    <t>neinvestiční</t>
  </si>
  <si>
    <t>nájmy z bytů</t>
  </si>
  <si>
    <t>nájmy z pozemků</t>
  </si>
  <si>
    <t>úroky z účtu</t>
  </si>
  <si>
    <t>pokuty, penále</t>
  </si>
  <si>
    <t>odhady, znalecké posudky</t>
  </si>
  <si>
    <t>odměna za správu</t>
  </si>
  <si>
    <t>inženýring</t>
  </si>
  <si>
    <t>ostatní služby</t>
  </si>
  <si>
    <t>materiálové náklady</t>
  </si>
  <si>
    <t>odměna za privatizaci</t>
  </si>
  <si>
    <t xml:space="preserve">P Ř Í J M Y  </t>
  </si>
  <si>
    <t>Třída  4  C E L K E M</t>
  </si>
  <si>
    <t>nájmy z nebytových prostor</t>
  </si>
  <si>
    <t>Poplatek ze psů</t>
  </si>
  <si>
    <t>Poplatek za užívání veřejného prostranství</t>
  </si>
  <si>
    <t>Poplatek ze vstupného</t>
  </si>
  <si>
    <t>Poplatek z ubytovací kapacity</t>
  </si>
  <si>
    <t xml:space="preserve">C  E  L  K  E  M   </t>
  </si>
  <si>
    <t>investiční</t>
  </si>
  <si>
    <t>Druh</t>
  </si>
  <si>
    <t>SR</t>
  </si>
  <si>
    <t>UR</t>
  </si>
  <si>
    <t>Skut.</t>
  </si>
  <si>
    <t xml:space="preserve"> %</t>
  </si>
  <si>
    <t xml:space="preserve"> % </t>
  </si>
  <si>
    <t>Spravované domy</t>
  </si>
  <si>
    <t>z toho podílové</t>
  </si>
  <si>
    <t>Bytové jednotky</t>
  </si>
  <si>
    <t>Nebytové prostory</t>
  </si>
  <si>
    <t>Kotelny</t>
  </si>
  <si>
    <t>% k UR</t>
  </si>
  <si>
    <t>náklady</t>
  </si>
  <si>
    <t>výnosy</t>
  </si>
  <si>
    <t>majetek</t>
  </si>
  <si>
    <t>výsledky hospodaření</t>
  </si>
  <si>
    <t>celkem</t>
  </si>
  <si>
    <t>náklady podílové domy</t>
  </si>
  <si>
    <t>jiné ostatní náklady</t>
  </si>
  <si>
    <t>prodej majetku - privatizace</t>
  </si>
  <si>
    <t>výnosy podílových domů</t>
  </si>
  <si>
    <t>jiné ostatní výnosy</t>
  </si>
  <si>
    <t>CELKEM</t>
  </si>
  <si>
    <t>opravy a údržba nad 200  tis.Kč</t>
  </si>
  <si>
    <t>opravy a údržba do 200  tis.Kč</t>
  </si>
  <si>
    <t xml:space="preserve"> T ř í d a  1 - D a ň o v é    p ř í j m y</t>
  </si>
  <si>
    <t>T ř í d a   2 - N e d a ň o v é    p ř í j m y</t>
  </si>
  <si>
    <t>T ř í d a  4 - P ř i j a t é     t r a n s f e r y</t>
  </si>
  <si>
    <t>Převody ze zdaňované činnosti</t>
  </si>
  <si>
    <t>0608</t>
  </si>
  <si>
    <t>0924</t>
  </si>
  <si>
    <t>0926</t>
  </si>
  <si>
    <t>Druh výdaje a kapitola</t>
  </si>
  <si>
    <t>S O U H R N   V Ý D A J Ů    K A P I T O L</t>
  </si>
  <si>
    <t>INVESTIČNÍ VÝDAJE - CELKEM</t>
  </si>
  <si>
    <t>P Ř E H L E D    A K C Í</t>
  </si>
  <si>
    <t>Celkem</t>
  </si>
  <si>
    <t xml:space="preserve">NÁZEV </t>
  </si>
  <si>
    <t>HLAVNÍ ČINNOST</t>
  </si>
  <si>
    <t>DOPLŇKOVÁ ČINNOST</t>
  </si>
  <si>
    <t xml:space="preserve">Náklady </t>
  </si>
  <si>
    <t>Výnosy</t>
  </si>
  <si>
    <t>Hospodářský výsledek</t>
  </si>
  <si>
    <t>Plán</t>
  </si>
  <si>
    <t xml:space="preserve">% </t>
  </si>
  <si>
    <t>%</t>
  </si>
  <si>
    <t xml:space="preserve">ZŠ a MŠ Barrandov </t>
  </si>
  <si>
    <t>FZŠ Drtinova</t>
  </si>
  <si>
    <t>ZŠ a MŠ Grafická</t>
  </si>
  <si>
    <t>ZŠ Nepomucká</t>
  </si>
  <si>
    <t>ZŠ Podbělohorská</t>
  </si>
  <si>
    <t>ZŠ a MŠ Radlická</t>
  </si>
  <si>
    <t xml:space="preserve">ZŠ a MŠ Tyršova </t>
  </si>
  <si>
    <t>ZŠ a MŠ U Santošky</t>
  </si>
  <si>
    <t>ZŠ waldorfská</t>
  </si>
  <si>
    <t>ZŠ Weberova</t>
  </si>
  <si>
    <t>Celkem ZŠ</t>
  </si>
  <si>
    <t>MŠ Beníškové</t>
  </si>
  <si>
    <t>MŠ Hlubočepská</t>
  </si>
  <si>
    <t>MŠ Kroupova</t>
  </si>
  <si>
    <t>MŠ Kudrnova</t>
  </si>
  <si>
    <t>MŠ Kurandové</t>
  </si>
  <si>
    <t>MŠ Lohniského 830</t>
  </si>
  <si>
    <t>MŠ Lohniského 851</t>
  </si>
  <si>
    <t>MŠ Nad Palatou</t>
  </si>
  <si>
    <t>MŠ Peroutkova</t>
  </si>
  <si>
    <t>MŠ Podbělohorská</t>
  </si>
  <si>
    <t>MŠ Tréglova</t>
  </si>
  <si>
    <t>MŠ Trojdílná</t>
  </si>
  <si>
    <t>MŠ U Železničního mostu</t>
  </si>
  <si>
    <t>Celkem MŠ</t>
  </si>
  <si>
    <t>C S O P</t>
  </si>
  <si>
    <t>Položka</t>
  </si>
  <si>
    <t>KTA</t>
  </si>
  <si>
    <t>Centra, stř. 91 (Machatého)</t>
  </si>
  <si>
    <t>Centra, stř. 92 (J. Plachty)</t>
  </si>
  <si>
    <t>Centra, stř. 93 (Staropramenná)</t>
  </si>
  <si>
    <t>Centra, stř. 97 (nebytové prostory)</t>
  </si>
  <si>
    <t>OEK</t>
  </si>
  <si>
    <t>Rozpočet</t>
  </si>
  <si>
    <t xml:space="preserve">kapitola 04 - Školství     </t>
  </si>
  <si>
    <t xml:space="preserve">kapitola 05 - Sociální věci a zdravotnictví  </t>
  </si>
  <si>
    <t>kapitola 08 - Bytové hospodářství</t>
  </si>
  <si>
    <t>kapitola 09 - Místní správa</t>
  </si>
  <si>
    <t>V Ý D A J E</t>
  </si>
  <si>
    <t>kapitola</t>
  </si>
  <si>
    <t>podkapitola</t>
  </si>
  <si>
    <t>druh výdaje</t>
  </si>
  <si>
    <t>upravený rozpočet</t>
  </si>
  <si>
    <t>název</t>
  </si>
  <si>
    <t xml:space="preserve">          celkem kapitola</t>
  </si>
  <si>
    <t>0241</t>
  </si>
  <si>
    <t>0341</t>
  </si>
  <si>
    <t>0440</t>
  </si>
  <si>
    <t>0441</t>
  </si>
  <si>
    <t>0539</t>
  </si>
  <si>
    <t>odbor kancelář tajemníka</t>
  </si>
  <si>
    <t>0839</t>
  </si>
  <si>
    <t>0841</t>
  </si>
  <si>
    <t>0909</t>
  </si>
  <si>
    <t>odbor ekonomický</t>
  </si>
  <si>
    <t>0937</t>
  </si>
  <si>
    <t>1009</t>
  </si>
  <si>
    <t>Celkem výdaje</t>
  </si>
  <si>
    <t>výnosy z přecenění reálnou hodnotou</t>
  </si>
  <si>
    <t>náklady z přecenění reálnou hodnotou</t>
  </si>
  <si>
    <t>tvorba rezerv</t>
  </si>
  <si>
    <t>prodané pozemky</t>
  </si>
  <si>
    <t>0637</t>
  </si>
  <si>
    <t>výnosy z přecenění reál. hodnotou</t>
  </si>
  <si>
    <t>náklady z přecenění reál. hodnotou</t>
  </si>
  <si>
    <t>0741</t>
  </si>
  <si>
    <t xml:space="preserve">kapitola 09
§ 6112 - Zastupitelstva obcí
</t>
  </si>
  <si>
    <t>podkapitola 0926</t>
  </si>
  <si>
    <t>Personální věci</t>
  </si>
  <si>
    <t>5019 - Ostatní platy</t>
  </si>
  <si>
    <t>5023 - Odměny členů zastupitelstev</t>
  </si>
  <si>
    <t>5029 - Ostatní platby za provedenou práci</t>
  </si>
  <si>
    <t>5031 - Sociální zabezpečení</t>
  </si>
  <si>
    <t>5032 - Zdravotní pojištění</t>
  </si>
  <si>
    <t>5039 - Ostatní povinné pojistné</t>
  </si>
  <si>
    <t>Výdaje celkem</t>
  </si>
  <si>
    <t xml:space="preserve">kapitola 02 - Městská zeleň a ochrana životního prostředí </t>
  </si>
  <si>
    <t>kapitola 07 - Bezpečnost a veřejný pořádek</t>
  </si>
  <si>
    <t>Třída 8 C E L K E M</t>
  </si>
  <si>
    <t>Upravený rozpočet</t>
  </si>
  <si>
    <t>Plnění
%</t>
  </si>
  <si>
    <t>dotace</t>
  </si>
  <si>
    <t>0113</t>
  </si>
  <si>
    <t>odbor majetku a investic</t>
  </si>
  <si>
    <t>0115</t>
  </si>
  <si>
    <t>odbor územního rozvoje</t>
  </si>
  <si>
    <t>odbor správy veřejného prostranství a zeleně</t>
  </si>
  <si>
    <t>0313</t>
  </si>
  <si>
    <t>0315</t>
  </si>
  <si>
    <t>0413</t>
  </si>
  <si>
    <t>0513</t>
  </si>
  <si>
    <t xml:space="preserve">odbor sociální problematiky </t>
  </si>
  <si>
    <t>0613</t>
  </si>
  <si>
    <t>0639</t>
  </si>
  <si>
    <t>0713</t>
  </si>
  <si>
    <t>0813</t>
  </si>
  <si>
    <t>0910</t>
  </si>
  <si>
    <t>odbor kancelář městské části</t>
  </si>
  <si>
    <t>0913</t>
  </si>
  <si>
    <t>0916</t>
  </si>
  <si>
    <t>OMI</t>
  </si>
  <si>
    <t>kapitola 06 - Kultura</t>
  </si>
  <si>
    <t>Výdaje na průzkumy,  studie a projekty</t>
  </si>
  <si>
    <t xml:space="preserve">CELKEM </t>
  </si>
  <si>
    <t>daň z nabytí nemovitých věcí</t>
  </si>
  <si>
    <t>odpisy majetku</t>
  </si>
  <si>
    <t>zůstatková cena prodaného majetku</t>
  </si>
  <si>
    <t>Daň z nemovitých věcí</t>
  </si>
  <si>
    <t>Ostatní přijaté vratky transferů</t>
  </si>
  <si>
    <t>Přijaté pojistné náhrady</t>
  </si>
  <si>
    <t>Příjmy z poskytování služeb a výrobků</t>
  </si>
  <si>
    <t>Austis, stř. 9499 (Areál Pod Žvahovem)</t>
  </si>
  <si>
    <t>Celkem CSOP, KC</t>
  </si>
  <si>
    <t>Kulturní centrum Prahy 5</t>
  </si>
  <si>
    <t>Úspora neinvestičního přísp. a nevyč. dotace</t>
  </si>
  <si>
    <t>0215</t>
  </si>
  <si>
    <t>0641</t>
  </si>
  <si>
    <t>Výdaje na průzkumy,  studie a projekty - bytové hospodářství</t>
  </si>
  <si>
    <t xml:space="preserve">Přenesená daňová povinnost </t>
  </si>
  <si>
    <t>Změna stavu krátkodobých prostředků na bankovních účtech</t>
  </si>
  <si>
    <t>0143</t>
  </si>
  <si>
    <t>0426</t>
  </si>
  <si>
    <t>0439</t>
  </si>
  <si>
    <t>odbor matrik a státního občanství</t>
  </si>
  <si>
    <t>0615</t>
  </si>
  <si>
    <t>0843</t>
  </si>
  <si>
    <t>0917</t>
  </si>
  <si>
    <t>odbor legislativní</t>
  </si>
  <si>
    <t>kapitola 01 - Územní rozvoj a rozvoj bydlení</t>
  </si>
  <si>
    <t>kapitola 03 - Doprava</t>
  </si>
  <si>
    <t>Nákup městského mobiliáře</t>
  </si>
  <si>
    <t>Rekonstrukce dětského hřiště Kudrnova</t>
  </si>
  <si>
    <t>Participativní rozpočet</t>
  </si>
  <si>
    <t xml:space="preserve">Obnova konstrukčních vrstev komunikací </t>
  </si>
  <si>
    <t>ZŠ a MŠ Barrandov I, obj. Chaplinovo nám. 615/1, Praha 5 - Hlubočepy - rekonstrukce dopravního hřiště vč. rekonstrukce 2 hřišť a vybudování venkovní učebny</t>
  </si>
  <si>
    <t>Přírodní koupaliště Klukovice</t>
  </si>
  <si>
    <t>Rekonstrukce objektu č.p. 886/4 ul. Záhorského</t>
  </si>
  <si>
    <t>Rekonstrukce Dětského ostrova</t>
  </si>
  <si>
    <t>Výdaje na průzkumy,  studie a projekty - nebytové hospodářství</t>
  </si>
  <si>
    <t>participativní rozpočet</t>
  </si>
  <si>
    <t>0417</t>
  </si>
  <si>
    <t>0739</t>
  </si>
  <si>
    <t>odbor sociální problematiky</t>
  </si>
  <si>
    <t>0409</t>
  </si>
  <si>
    <t>0410</t>
  </si>
  <si>
    <t>0437</t>
  </si>
  <si>
    <t>odbor bytů a privatizace</t>
  </si>
  <si>
    <t>0510</t>
  </si>
  <si>
    <t>0526</t>
  </si>
  <si>
    <t>0609</t>
  </si>
  <si>
    <t>Přijaté neinvestiční dary</t>
  </si>
  <si>
    <t>0710</t>
  </si>
  <si>
    <t>Stavební úpravy komunikace Na Pomezí</t>
  </si>
  <si>
    <t>Rekonstrukce skateparku Butovická</t>
  </si>
  <si>
    <t>Vybudování fitparku</t>
  </si>
  <si>
    <t>Centra, stř. 9166 (SV)</t>
  </si>
  <si>
    <t>prodej pozemků</t>
  </si>
  <si>
    <t>OLEG</t>
  </si>
  <si>
    <t>KMČ</t>
  </si>
  <si>
    <t>OBP</t>
  </si>
  <si>
    <t>OMSO</t>
  </si>
  <si>
    <t>OIN</t>
  </si>
  <si>
    <t>ORJ</t>
  </si>
  <si>
    <t>účel dotace - název akce</t>
  </si>
  <si>
    <t>č. usnesení</t>
  </si>
  <si>
    <t xml:space="preserve">vyčerpáno
</t>
  </si>
  <si>
    <t>%
čerpání</t>
  </si>
  <si>
    <t xml:space="preserve">Celkem </t>
  </si>
  <si>
    <t xml:space="preserve">vyčerpáno 
 </t>
  </si>
  <si>
    <t>FZŠ Barrandov II, V Remízku 7/919</t>
  </si>
  <si>
    <t>ZHMP č. 17/7 z 24.5.2012</t>
  </si>
  <si>
    <t xml:space="preserve">celkem </t>
  </si>
  <si>
    <t>celkem investiční</t>
  </si>
  <si>
    <t>HMP</t>
  </si>
  <si>
    <t xml:space="preserve">FZŠ  a MŠ Barrandov II. </t>
  </si>
  <si>
    <t>ZŠ a MŠ Grafická 13</t>
  </si>
  <si>
    <t xml:space="preserve">ZŠ a MŠ Kořenského </t>
  </si>
  <si>
    <t>MŠ Beníškové 988</t>
  </si>
  <si>
    <t>MŠ Hlubočepská 90</t>
  </si>
  <si>
    <t>MŠ Kroupova 2775</t>
  </si>
  <si>
    <t>MŠ Kudrnova 235</t>
  </si>
  <si>
    <t>MŠ Kurandové 669</t>
  </si>
  <si>
    <t>MŠ Nad Palatou 613</t>
  </si>
  <si>
    <t>MŠ Peroutkova 1004</t>
  </si>
  <si>
    <t xml:space="preserve">MŠ Podbělohorská </t>
  </si>
  <si>
    <t>MŠ Tréglova 780</t>
  </si>
  <si>
    <t>MŠ Trojdílná 1117</t>
  </si>
  <si>
    <t>Příloha č. 11
v Kč</t>
  </si>
  <si>
    <t>účet, druh majetku</t>
  </si>
  <si>
    <t>počáteční stav</t>
  </si>
  <si>
    <t>přírůstek</t>
  </si>
  <si>
    <t>úbytek</t>
  </si>
  <si>
    <t>konečný stav</t>
  </si>
  <si>
    <t>014 - Ocenitelná práva</t>
  </si>
  <si>
    <t>021 - Budovy, stavby</t>
  </si>
  <si>
    <t>036 0021 - Budovy ,stavby určené k prodeji</t>
  </si>
  <si>
    <t>031 - Pozemky</t>
  </si>
  <si>
    <t>032 - Umělecké předměty</t>
  </si>
  <si>
    <t>Nedokončený dlouhodobý hmotný majetek</t>
  </si>
  <si>
    <t>Nedokončený dlouhodobý nehmotný majetek</t>
  </si>
  <si>
    <t>Zálohy na investice</t>
  </si>
  <si>
    <t>Dlouhodobé pohledávky (na účtu poskytnuté návratné finanční výpomoci dlouhodobé)</t>
  </si>
  <si>
    <t xml:space="preserve">Dlouhodobé poskytnuté zálohy </t>
  </si>
  <si>
    <t>Příloha č. 12
v Kč</t>
  </si>
  <si>
    <t>Příloha č. 13   
v Kč</t>
  </si>
  <si>
    <t xml:space="preserve">A. Povinné odvody </t>
  </si>
  <si>
    <t xml:space="preserve">Odvody do státního rozpočtu </t>
  </si>
  <si>
    <t>B. Odvody do rozpočtu HMP</t>
  </si>
  <si>
    <t>Celkem odvody do HMP</t>
  </si>
  <si>
    <t xml:space="preserve">Celkem odvody </t>
  </si>
  <si>
    <t xml:space="preserve">Celkem odvody organizací městské části do rozpočtu </t>
  </si>
  <si>
    <t>C E L K E M   ODVODY,  PŘEVODY  A  VYPOŘÁDÁNÍ</t>
  </si>
  <si>
    <t>zkoušky zvláštní odborné způsobilosti</t>
  </si>
  <si>
    <t>Agenda 21</t>
  </si>
  <si>
    <t xml:space="preserve"> </t>
  </si>
  <si>
    <t xml:space="preserve">C. Povinné doplatky </t>
  </si>
  <si>
    <t>POVINNÉ ODVODY CELKEM</t>
  </si>
  <si>
    <t>Převody  ze zdrojů MHMP</t>
  </si>
  <si>
    <t xml:space="preserve">POVINNÉ DOPLATKY CELKEM </t>
  </si>
  <si>
    <t>D. Odvody do rozpočtu městské části od zřízených organizací MČ</t>
  </si>
  <si>
    <t xml:space="preserve">FZŠ V Remízku, Barrandov II , Praha 5 </t>
  </si>
  <si>
    <t>ZŠ a MŠ Grafická 13/1060, Praha 5</t>
  </si>
  <si>
    <t>ZŠ Nepomucká 1/139, Praha 5</t>
  </si>
  <si>
    <t>ZŠ a MŠ Kořenského 10/760, Praha 5</t>
  </si>
  <si>
    <t>ZŠ a MŠ Praha 5 - Radlice, Radlická 140/115</t>
  </si>
  <si>
    <t xml:space="preserve">Tyršova ZŠ a MŠ, U Tyršovy školy 1/430,  Praha 5 - Jinonice </t>
  </si>
  <si>
    <t>ZŠ waldorfská, Praha 5 - Jinonice , Butovická 228/9</t>
  </si>
  <si>
    <t xml:space="preserve">ZŠ a MŠ Weberova 1/1090, Praha 5 - Košíře </t>
  </si>
  <si>
    <t xml:space="preserve">MŠ Hlubočepská 90, Praha 5 - Hlubočepy </t>
  </si>
  <si>
    <t>MŠ "Slunéčko" Praha 5 - Košíře, Beníškové 988</t>
  </si>
  <si>
    <t xml:space="preserve">MŠ Kroupova 2775, Praha 5 - Smíchov </t>
  </si>
  <si>
    <t xml:space="preserve">MŠ "U krtečka", Kudrnova 235, Praha 5 - Motol </t>
  </si>
  <si>
    <t xml:space="preserve">MŠ Kurandové 669, Praha 5 - Barrandov </t>
  </si>
  <si>
    <t xml:space="preserve">MŠ Lohniského 830, Praha 5 - Barrandov </t>
  </si>
  <si>
    <t xml:space="preserve">MŠ Lohniského 851, Praha 5 - Barrandov </t>
  </si>
  <si>
    <t>MŠ Peroutkova 1004, Praha 5 - Košíře</t>
  </si>
  <si>
    <t xml:space="preserve">MŠ Podbělohorská 2185, Praha 5 - Košíře </t>
  </si>
  <si>
    <t xml:space="preserve">MŠ se speciálními třídami DUHA, Trojdílná 1117,  Praha 5 - Košíře </t>
  </si>
  <si>
    <t xml:space="preserve">MŠ  U železničního mostu 2629, Praha 5 - Smíchov </t>
  </si>
  <si>
    <t>Centrum sociální a ošetřovatelské pomoci, nám. 14. října 802/11, Praha 5</t>
  </si>
  <si>
    <t>E. Ostatní odvody organizací</t>
  </si>
  <si>
    <t>F. Městská část odvede či převede dále</t>
  </si>
  <si>
    <t>Celkem odvody organizací městské části do rozpočtu</t>
  </si>
  <si>
    <t>Revitalizace hřiště Pod Kotlářkou</t>
  </si>
  <si>
    <t>Revitalizace hřiště Pod Žvahovem</t>
  </si>
  <si>
    <t>Příloha č. 3
v tis.Kč</t>
  </si>
  <si>
    <t>Příloha č. 7
v tis.Kč</t>
  </si>
  <si>
    <t>Příloha č. 8           v tis.Kč</t>
  </si>
  <si>
    <t>Příloha č. 10
v tis.Kč</t>
  </si>
  <si>
    <t>SR 2018</t>
  </si>
  <si>
    <t>UR 2018</t>
  </si>
  <si>
    <t>Skutečnost k 
31.12.2018</t>
  </si>
  <si>
    <t xml:space="preserve">                Výsledky hospodaření Městské části Praha 5 za rok 2018
              Příjmy - hlavní činnost</t>
  </si>
  <si>
    <t xml:space="preserve">                      Výsledky hospodaření Městské části Praha 5 za rok 2018
                      Výdaje - hlavní činnost</t>
  </si>
  <si>
    <t>odvod správních poplatků za zpřístupnění datových schránek za IV. čtvrtletí 2018 na MV ČR</t>
  </si>
  <si>
    <t>převod z rozpočtu na VHČ refundace telefonních hovorů za období 12/2018 na základě skutečného čerpání</t>
  </si>
  <si>
    <t>převod ze sociálního fondu do rozpočtu (na základě skutečného čerpání - příspěvek na penzijní připojištění za měsíc 12/2018)</t>
  </si>
  <si>
    <t>Výsledek hospodaření za rok 2018</t>
  </si>
  <si>
    <t>Skutečnost k 31.12. 2018</t>
  </si>
  <si>
    <t xml:space="preserve">Odkoupení pozemku parc. Č. 849/9 k. ú. Hlubočepy </t>
  </si>
  <si>
    <t>Obnova sportoviště v parku Sacré Couer</t>
  </si>
  <si>
    <t>Obnova dětského hřiště M, Barrandov</t>
  </si>
  <si>
    <t>Program regenerace - úpravy veřejných prostor</t>
  </si>
  <si>
    <t>Rekonstrukce dětského hřiště Okrouhlík</t>
  </si>
  <si>
    <t>Rekonstrukce parčíku Slivenecká</t>
  </si>
  <si>
    <t>Rekonstrukce Chaplinova náměstí</t>
  </si>
  <si>
    <t>Volnočasový areál Vidoule</t>
  </si>
  <si>
    <t>Realizace sportoviště U Plátenice</t>
  </si>
  <si>
    <t>Vybudování nových stanovišť podzemních kontejnerů</t>
  </si>
  <si>
    <t>Komunitní zahrady</t>
  </si>
  <si>
    <t>Předprojekční průzkumy</t>
  </si>
  <si>
    <t>MHMP – Rekonstrukce parku Santoška</t>
  </si>
  <si>
    <t>MHMP – Komunitní zahrada Hlubočepy</t>
  </si>
  <si>
    <t>MHMP – Revitalizace parku Klamovka</t>
  </si>
  <si>
    <t>MHMP – Rekonstrukce komunikací v parku Mrázovka</t>
  </si>
  <si>
    <t>DH v parku Sacre Coeur</t>
  </si>
  <si>
    <t>Obnova DH Klamovka</t>
  </si>
  <si>
    <t>Revitalizace parku Smart Cities</t>
  </si>
  <si>
    <t>Městská  zeleň - pol. 6122</t>
  </si>
  <si>
    <t>Oplocení Motolské skládky</t>
  </si>
  <si>
    <t>Císařská louka - lávka /PD/</t>
  </si>
  <si>
    <t>Bezpečnost silničního provozu</t>
  </si>
  <si>
    <t>Bezpečný přechod - Smart Cities</t>
  </si>
  <si>
    <t>Stavební úpravy sportovního areálu FZŠ a MŠ při PedF UK Barrandov II, Praha 5 - Hlubočepy, V Remízku 919/7</t>
  </si>
  <si>
    <t>ZŠ a MŠ Tyršova, obj. U Tyršovy školy 430/1, Praha 5 - Jinonice - vestavba do půdního prostoru (realizace)</t>
  </si>
  <si>
    <t>ZŠ Pod Žvahovem - Praha 5 - snížení energetické náročnosti objektu</t>
  </si>
  <si>
    <t>ZŠ Weberova, objekt Weberova 1090/1 - pokračování rekonstrukce fasád, pavilon E</t>
  </si>
  <si>
    <t>ZŠ a MŠ Barrandov I., obj. Chaplinovo nám. 615/1, Praha 5 - Hlubočepy - sociální zázemí pro sportovní areál (realizace)</t>
  </si>
  <si>
    <t>Soubor energetických opatření na MŠ Lohniského</t>
  </si>
  <si>
    <t>Úprava objektu Drtinova 3215/3a Praha 5 pro potřeby FZŠ Drtinova (realizace)</t>
  </si>
  <si>
    <t>ZŠ Waldorfská, obj. Mezi Rolemi 34/8, Praha 5 – Jinonice – provedení nového pavilonu</t>
  </si>
  <si>
    <t xml:space="preserve">FZŠ a MŠ Barrandov II, obj. V Remízku 919/7, Praha 5 - Hlubočepy - komplexní rekonstrukce školní kuchyně </t>
  </si>
  <si>
    <t>ZŠ a MŠ Kořenského, obj. Kořenského 760/10, Praha 5 - Smíchov - vestavba do půdního prostoru (realizace)</t>
  </si>
  <si>
    <t xml:space="preserve">ZŠ a MŠ Kořenského, objekt Pod Žvahovem 463/21b, Praha 5 - Hlubočepy - rekonstrukce objektu </t>
  </si>
  <si>
    <t>ZŠ a MŠ Kořenského, objekt Pod Žvahovem 463/21b, Praha 5 - Hlubočepy - dopravní řešení</t>
  </si>
  <si>
    <t>Výstavba kontejnerového pavilonu MŠ (PD)</t>
  </si>
  <si>
    <t>MŠ Nad Palatou, obj. Pod Lipkami, Praha 5 - Smíchov - nástavba na hospodářském pavilonu, dokončení výměny oken se zateplením střechy a fasád UP (PD)</t>
  </si>
  <si>
    <t>MŠ Beníškové, obj. Naskové 1214/5, Praha 5 - Košíře - nástavba 2. NP objektu (PD)</t>
  </si>
  <si>
    <t>FZŠ Drtinova, Praha 5 - Smíchov - sanace části obvodového zdiva a úprava ležaté kanalizace  (realizace)</t>
  </si>
  <si>
    <t>ZŠ a MŠ Kořenského, Kořenského 760/10, 150 00 Praha 5, Smíchov – sanace suterénních prostor do uliční části</t>
  </si>
  <si>
    <t>MŠ Podbělohorská 2185/1, Praha 5 - Smíchov - částečná rekonstrukce elektroinstalace (PD)</t>
  </si>
  <si>
    <t>ZŠ a MŠ U Santošky, obj. U Santošky 951 a 1007/1a3, Praha 5 - Smíchov - nová VZT pro ŠJ a kuchyň vč. stavebních úprav (PD)</t>
  </si>
  <si>
    <t>ZŠ Nepomucká, obj. Nepomucká 139/1, Praha 5 - Košíře - zateplení fasády, střechy a výměna oken (PD)</t>
  </si>
  <si>
    <t>ZŠ a MŠ - Bezbariérovost škol zřizovaných MČ Praha 5</t>
  </si>
  <si>
    <t>ZŠ a MŠ Radlická, obj. Na Pláni 59/3186, Praha 5 - Radlice - vybudování 2 tříd</t>
  </si>
  <si>
    <t>Sportovně rekreační areál Motol, Praha 5</t>
  </si>
  <si>
    <t>Výdaje na průzkumy,  studie a projekty (školy)</t>
  </si>
  <si>
    <t>Výdaje na průzkumy,  studie a projekty (školky)</t>
  </si>
  <si>
    <t>Výdaje na průzkumy,  studie a projekty (sport)</t>
  </si>
  <si>
    <t>ZŠ a MŠ Kořenského, objekt Pod Žvahovem, navýšení kapacity základního vzdělávání za účelem sociální inkluze</t>
  </si>
  <si>
    <t>Soubor energetických opatření na MŠ Kroupova</t>
  </si>
  <si>
    <t>MŠ Hlubočepská 40/90</t>
  </si>
  <si>
    <t>MŠ Nad Palatou 29/613</t>
  </si>
  <si>
    <t>ZŠ a MŠ Tyršova, U Tyršovy školy 2/634</t>
  </si>
  <si>
    <t>ZŠ Podbělohorská 26/720</t>
  </si>
  <si>
    <t>Pól růstu MŠ</t>
  </si>
  <si>
    <t>Pól růstu ZŠ</t>
  </si>
  <si>
    <t>Obnova školních zahrad - ZŠ Grafická</t>
  </si>
  <si>
    <t>ZŠ Grafická, Grafická 13/1060, 150 00 Praha 5 - Smíchov</t>
  </si>
  <si>
    <t>ZŠW Jinonice - včelín</t>
  </si>
  <si>
    <t>ZŠ V Remízku 7/919, Praha 5- Barrandov , účelové příspěvky</t>
  </si>
  <si>
    <t>Realizace bezpečnostních opatření v budovách MŠ a ZŠ</t>
  </si>
  <si>
    <t>MŠ Kroupova 2/2775, obnova herních prvků a ploch</t>
  </si>
  <si>
    <t>MŠ U Krtečka, Kudrnova 1a/235, obnova herních prvků a ploch</t>
  </si>
  <si>
    <t>MŠ Trojdílná, obnova herních prvků a ploch</t>
  </si>
  <si>
    <t>ZŠ Grafická, Grafická 13/1060, 150 00 Praha 5 - Smíchov,obnova herních prvků a ploch</t>
  </si>
  <si>
    <t>ZŠ Nepomucká, odloučené pracoviště Beníškové 1/1258 obnova herních prvků a ploch</t>
  </si>
  <si>
    <t>Sportoviště Na Žvahově</t>
  </si>
  <si>
    <t>Rekonstrukce sportovišť</t>
  </si>
  <si>
    <t>Streetworkout hřiště Barrandov</t>
  </si>
  <si>
    <t>Psí hřiště Mrázovka</t>
  </si>
  <si>
    <t>ZŠ a MŠ Barrandov - rekonstrukce 2 hřišť a venkovního vybavení</t>
  </si>
  <si>
    <t>ZŠ Weberova, dotace na sport a kulturu, školství</t>
  </si>
  <si>
    <t>ZŠ Nepomucká, dotace na sport a kulturu, školství</t>
  </si>
  <si>
    <t>ZŠ Drtinova, dotace na sport a kulturu, školství</t>
  </si>
  <si>
    <t>ZŠ Kořenského, dotace na sport a kulturu, školství</t>
  </si>
  <si>
    <t>ZŠ a MŠ Radlická - vybudování 2 tříd, Na Pláni 59/3186, Praha 5</t>
  </si>
  <si>
    <t>Kluziště</t>
  </si>
  <si>
    <t xml:space="preserve">Zubatého 330/10 Dům s pečovatelskou službou - instalace požárních hlásičů </t>
  </si>
  <si>
    <t>Na Hřebenkách 2765/3a Jesle, čp. 276/3, zateplení objektů</t>
  </si>
  <si>
    <t>Holečkova 3297/38a - Komunitní centrum Prádelna - realizace bezpečnostních opatření</t>
  </si>
  <si>
    <t>Na Neklance 2534/15 Dům sociálních služeb - Kompletní výměna hlavních vchodových bezpečnostních dveří, osvětlení</t>
  </si>
  <si>
    <t>Zubatého 330/10 Byty zvláštního určení - rekonstrukce bytů</t>
  </si>
  <si>
    <t>Štefánikova 259/51 Byty zvláštního určení - rekonstrukce bytů</t>
  </si>
  <si>
    <t>Poštovka DPS</t>
  </si>
  <si>
    <t>Výdaje na průzkumy, studie a projekty</t>
  </si>
  <si>
    <t>CSOP - osobní asist., peč.služba a podpora samost.bydlení</t>
  </si>
  <si>
    <t>Letohrádek Portheimka čp. 68, Štefánikova 12, Praha 5 - Smíchov - projektová dokumentace</t>
  </si>
  <si>
    <t xml:space="preserve">KK Poštovka </t>
  </si>
  <si>
    <t>Zhotovení pamětní desky F. II. Ringofferovi</t>
  </si>
  <si>
    <t>Realizace bezpečnostních opatření v budovách MŠ a CSOP</t>
  </si>
  <si>
    <t xml:space="preserve">Instalace herních prvků </t>
  </si>
  <si>
    <t>Bezpečnostní přístřešek pro vnitroblokové parkoviště ÚMČ Prahy 5</t>
  </si>
  <si>
    <t>Samoobslužné klíčové hospodářství</t>
  </si>
  <si>
    <t>Bytový dům Nad Koulkou</t>
  </si>
  <si>
    <t>Stavební úpravy a nástavba objektu Lidická 251/34, PD</t>
  </si>
  <si>
    <t>Výstavba objektu u parku Sacré Coeur</t>
  </si>
  <si>
    <t>Stavební úpravy objektu Elišky Peškové 333/7, Praha 5</t>
  </si>
  <si>
    <t>Demolice objektu na pozemku p.č. 149/4 v k.ú. Hlubočepy</t>
  </si>
  <si>
    <t>Bydlení pro seniory, Praha 5 - Hlubočepy - novostavba na pozemku v k.ú. Hlubočepy, p.č. 149/4, včetně návrhu dopravy v klidu (PD)</t>
  </si>
  <si>
    <t>Raudnitzův dům, Hlubočepy</t>
  </si>
  <si>
    <t>Plzeňská 117/39, 150 00 Praha 5, Košíře – sanace vlhkého zdiva</t>
  </si>
  <si>
    <t>Plzeňská 314/115, 150 00 Praha 5, Košíře – sanace vlhkého zdiva</t>
  </si>
  <si>
    <t>VŠ MVVP, U Santošky 1093/17, 150 00 Praha 5, Smíchov – sanace vlhkého zdiva</t>
  </si>
  <si>
    <t>Přístavba výtahu pro bytový dům Plzeňská 2076/174, Praha 5</t>
  </si>
  <si>
    <t>Zateplení dvorní a uliční fasády a výměna oken do dvora Plzeňská č.p. 442 a 445</t>
  </si>
  <si>
    <t>Investiční část nákladů na opravy bytových jednotek Městské části Praha 5</t>
  </si>
  <si>
    <t>Vypořádání MČ P5 s nájemci bytů, kteří zhodnotili byt na vlastní náklady a chtějí bytovou jednotku vrátit</t>
  </si>
  <si>
    <t>Odkoupení pozemků par. č. 1320/4 k.ú. Hlubočepy od FK Zlíchov</t>
  </si>
  <si>
    <t>Výměna oken objektu nám. 14. října 1381/4 (započteny i okna Preslova 553/4)</t>
  </si>
  <si>
    <t>Štefánikova 13,15 – celková modernizace vstupu do radnice a čekáren</t>
  </si>
  <si>
    <t>Studie vestavby do podkroví objektu Preslova č.4</t>
  </si>
  <si>
    <t>Modernizace výtahu, Preslova č.4</t>
  </si>
  <si>
    <t>Systém samoobslužného klíčového hospodářství - objekt Štefánikova 13, 15</t>
  </si>
  <si>
    <t>Systém samoobslužného klíčového hospodářství - objekt nám. 14. října 1381/4</t>
  </si>
  <si>
    <t>Rekonstrukce zvonkových komunikátorů v budovách ÚMČ Štefánikova 13, 15 a nám. 14. října 1381/4</t>
  </si>
  <si>
    <t>Investiční výdaje v budovách MČ P5 v souvislosti s prováděnými úpravami</t>
  </si>
  <si>
    <t>Digitální telefonní ústředna s integrací stávající sítě</t>
  </si>
  <si>
    <t>Dopravní prostředky</t>
  </si>
  <si>
    <t>Vybavení archivů, sodobary, kuchyňky</t>
  </si>
  <si>
    <t>Stavební úpravy budov ÚMČ P5</t>
  </si>
  <si>
    <t>Platební automaty na výběr správních poplatků a pokut</t>
  </si>
  <si>
    <t xml:space="preserve">Diskové úložiště </t>
  </si>
  <si>
    <t>Servery</t>
  </si>
  <si>
    <t>Licence BACKUP – pro serverovou infrastrukturu, Licence OS pro servery, Licence Management - Management serverové infrastruktury</t>
  </si>
  <si>
    <t xml:space="preserve">Platební automaty </t>
  </si>
  <si>
    <t>Dodávka hlavní ústředny a koncových zařízení</t>
  </si>
  <si>
    <t>Implementace modulu pro integraci platebních automatů do IS GINIS</t>
  </si>
  <si>
    <t>Obnova vyvolávacího systému Plzeňská</t>
  </si>
  <si>
    <t>prodej majetku</t>
  </si>
  <si>
    <t>Centra, stř. 94 (Portheimka)</t>
  </si>
  <si>
    <t>Centra, stř. 95 (Poliklinika Barrandov)</t>
  </si>
  <si>
    <t>Centra, stř. 96 (Elišky Peškové)</t>
  </si>
  <si>
    <t>AquaDream, stř. 98 (Sportovní centrum Barrandov)</t>
  </si>
  <si>
    <t>Isco, stř. 99 (Areál Klikatá)</t>
  </si>
  <si>
    <t>Tabulka č.5       v tis.Kč</t>
  </si>
  <si>
    <t>Výsledky hospodaření Městské části Praha 5 za rok 2018  Náklady a výnosy - zdaňovaná činnost</t>
  </si>
  <si>
    <t>prodej majetku - statut</t>
  </si>
  <si>
    <t>KMČ - OHS</t>
  </si>
  <si>
    <t xml:space="preserve">                          Výsledky hospodaření Městské části Praha 5 za rok 2018                                             
                             Zdaňovaná činnost   </t>
  </si>
  <si>
    <t>FZŠ a MŠ Barrandov II.</t>
  </si>
  <si>
    <t>ZŠ a MŠ Kořenského</t>
  </si>
  <si>
    <t>ZŠ a MŠ Weberova</t>
  </si>
  <si>
    <t>0213</t>
  </si>
  <si>
    <t>daň z příjmu právnických osob</t>
  </si>
  <si>
    <t>KST</t>
  </si>
  <si>
    <t>Veřejné hřiště pro psy v parku Mrázovka</t>
  </si>
  <si>
    <t>Realizace hřiště Portheimka</t>
  </si>
  <si>
    <t>Městská zeleň- pol. 6121</t>
  </si>
  <si>
    <t>Parkovací dům P + R , k.ú. Motol, tech. studie park. stání ul. Roentgenova</t>
  </si>
  <si>
    <t>daň z právnických osob</t>
  </si>
  <si>
    <t>Centra, stř. 9099 (Ženské domovy, Na Neklance, KC Prádelna)</t>
  </si>
  <si>
    <t>Realizace bezpečnostních opatření prostorů pro samoobslužné terminály a nově zbudované čekací zóny pro návštěvy ÚMČ Praha 5, Štefánikova 13,15.</t>
  </si>
  <si>
    <t xml:space="preserve">Obnovení hlasovacího systému, ozvučení, videozáznam a stenozáznam pro potřeby ZMČ </t>
  </si>
  <si>
    <t xml:space="preserve">Software pro obnovení hlasovacího systému, ozvučení, videozáznam a stenozáznam pro potřeby ZMČ </t>
  </si>
  <si>
    <t>Pořízení hlasovacího a konferenčního systému</t>
  </si>
  <si>
    <t xml:space="preserve">Software pro zajištění správy tiskáren </t>
  </si>
  <si>
    <t xml:space="preserve">Nákup tiskáren </t>
  </si>
  <si>
    <t>Zabezpečení serverovny, úprava a doplnění kabelových rozvodů, zprovoznění zásuvek pro tiskárnu</t>
  </si>
  <si>
    <t>kapitola 10 - Ostatní činnosti</t>
  </si>
  <si>
    <t>MŠ Lohniského - povinná spoluúčast</t>
  </si>
  <si>
    <t>Taneční centrum Praha,  Pod Žvahovem 463,  15200 Praha 5, rekonstrukce sociálního zařízení</t>
  </si>
  <si>
    <t>Příspěvky ZŠ</t>
  </si>
  <si>
    <t>Investiční dotace Hřiště Hlubočepy</t>
  </si>
  <si>
    <t xml:space="preserve">MŠ Podbělohorská 2185/1, Praha 5 - Smíchov </t>
  </si>
  <si>
    <t>MŠ Trojdílná - interaktivní výuka</t>
  </si>
  <si>
    <t>Výstavba bytového domu v ulici Stroupežnického (PD)</t>
  </si>
  <si>
    <t>Plzeňská č.p. 442 a 445 , vybudování výtahů a schodišťových plošin</t>
  </si>
  <si>
    <t xml:space="preserve">Přijaté sankční platby (pokuty) </t>
  </si>
  <si>
    <t>Přijmy z prodeje krátkodobého a drobného dlouhodobého majetku</t>
  </si>
  <si>
    <t>Neidentifikované přijmy</t>
  </si>
  <si>
    <t>Splátky půjček (VIC Praha5)</t>
  </si>
  <si>
    <t>Příjmy z prodeje ostatního hmotného dlouhodobého majetku</t>
  </si>
  <si>
    <t>Příjmy z prodeje majetkových podílů</t>
  </si>
  <si>
    <t>Příjmy z prodeje zboží</t>
  </si>
  <si>
    <t>Příjmy z podílu na zisku a dividend</t>
  </si>
  <si>
    <t>2211 + 2212</t>
  </si>
  <si>
    <t>T ř í d a   3 - K a p i t á l o v é    p ř í j m y</t>
  </si>
  <si>
    <t>Třída 3   C E L K E M</t>
  </si>
  <si>
    <t xml:space="preserve">VLASTNÍ  PŘÍJMY  CELKEM </t>
  </si>
  <si>
    <t>Upravený rozpočet k 31.12.2018</t>
  </si>
  <si>
    <t>Skutečnost k 31.12.2018</t>
  </si>
  <si>
    <t>běžné</t>
  </si>
  <si>
    <t>kapitálové</t>
  </si>
  <si>
    <t>01
územní rozvoj a rozvoj bydlení</t>
  </si>
  <si>
    <t>0126</t>
  </si>
  <si>
    <t>02
městská zeleň a ochrana životního prostředí</t>
  </si>
  <si>
    <t>0243</t>
  </si>
  <si>
    <t>03
doprava</t>
  </si>
  <si>
    <t>0317</t>
  </si>
  <si>
    <t>04 školství</t>
  </si>
  <si>
    <t>odbor Kancelář tajemníka</t>
  </si>
  <si>
    <t>odbor Kancelář starosty</t>
  </si>
  <si>
    <t>odbor školství</t>
  </si>
  <si>
    <t>05
sociální věci a zdravotnictví</t>
  </si>
  <si>
    <t>0517</t>
  </si>
  <si>
    <t>0537</t>
  </si>
  <si>
    <t>06
kultura</t>
  </si>
  <si>
    <t>0619</t>
  </si>
  <si>
    <t xml:space="preserve">     </t>
  </si>
  <si>
    <t>07
bezpečnost a veřejný pořádek</t>
  </si>
  <si>
    <t>odbor Kancelář městské části</t>
  </si>
  <si>
    <t>0737</t>
  </si>
  <si>
    <t>08
bytové hospodářství</t>
  </si>
  <si>
    <t>0837</t>
  </si>
  <si>
    <t>09
místní správa a zastupitelstva obcí</t>
  </si>
  <si>
    <t>odbor informatiky</t>
  </si>
  <si>
    <t>0926 SF</t>
  </si>
  <si>
    <t>odbor Kancelář tajemníka - sociální fond</t>
  </si>
  <si>
    <t>10
ostatní činnosti</t>
  </si>
  <si>
    <t>1016</t>
  </si>
  <si>
    <t>Schválený rozpočet 2018</t>
  </si>
  <si>
    <t>výkon sociálně právní ochrany dětí (SPOD)</t>
  </si>
  <si>
    <t xml:space="preserve">volba prezidenta ČR </t>
  </si>
  <si>
    <t>výkon sociální práce</t>
  </si>
  <si>
    <t xml:space="preserve">integrace cizinců- podpora vzdělávacích aktivit k integraci cizinců </t>
  </si>
  <si>
    <t>agenda 21 - Místní agenda v Praze 5</t>
  </si>
  <si>
    <t xml:space="preserve">adiktologické služby </t>
  </si>
  <si>
    <t>rekonstrukce sportovišť - Praha 5- inv. (ORG 80437)</t>
  </si>
  <si>
    <t>revitalizace hřiště Pod Žvahovem - inv. (ORG 80702)</t>
  </si>
  <si>
    <t>revitalizace parku Praha 5 - Smart Cities - inv. (ORG 80728)</t>
  </si>
  <si>
    <t>revitalizace parku Praha 5 - Smart Cities - neinv.  (ORG 80728)</t>
  </si>
  <si>
    <t>monitorování parkovací situace - Smart Cities - neinv. (ORG 80731)</t>
  </si>
  <si>
    <t>doplatky místních poplatků - poplatky ze psů</t>
  </si>
  <si>
    <t xml:space="preserve">doplatky místních poplatků - poplatky za rekreační pobyt </t>
  </si>
  <si>
    <t xml:space="preserve">parcipativní rozpočty - inv. výdaje </t>
  </si>
  <si>
    <t xml:space="preserve">participativní rozpočty  - neinv. výdaje </t>
  </si>
  <si>
    <t xml:space="preserve">ZŠ a MŠ U Santošky 1007/1, Praha 5 - Smíchov </t>
  </si>
  <si>
    <t>FZŠ Drtinova, Praha 5</t>
  </si>
  <si>
    <t>ZŠ Podbělohorská, Praha 5</t>
  </si>
  <si>
    <t>MŠ Nad Palatou 613, Praha 5</t>
  </si>
  <si>
    <t xml:space="preserve">MŠ Tréglova 780, Praha 5 - Barrandov </t>
  </si>
  <si>
    <t xml:space="preserve">Nadační fond Harmonie - orchestr </t>
  </si>
  <si>
    <t>FZŠ  a MŠ Barrandov II - Pegas</t>
  </si>
  <si>
    <t>Člověk v tísni. O.p.s.</t>
  </si>
  <si>
    <t xml:space="preserve">Český svaz ochránců přírody 01/87 Strom - zimní lyžařský tábor </t>
  </si>
  <si>
    <t xml:space="preserve">019 - Jiný dlouhodobý nehmotný majetek </t>
  </si>
  <si>
    <t xml:space="preserve">                  Přehled o pohybu dlouhodobého majetku organizací zřízených Městskou částí Praha 5 za roky 2016 - 2018               </t>
  </si>
  <si>
    <t>Pozn.:   V roce 2017 je v přehledu Vzdělávací informační centrum Praha 5, o.p.s. jelikož začalo svojí činnost, proto se liší konečný stav roku 2016 (bez Informačního centra) oproti počátečnímu stavu roku 2017. V roce 2018 jsou údaje uvedeny včetně Vzdělávacího informačního centra Praha 5, o.p.s.</t>
  </si>
  <si>
    <t>MČ</t>
  </si>
  <si>
    <t>Údržba plastik</t>
  </si>
  <si>
    <t>ZOZ</t>
  </si>
  <si>
    <t>Sociální služby</t>
  </si>
  <si>
    <t>Bezdomovectví</t>
  </si>
  <si>
    <t>Bezbariérovost</t>
  </si>
  <si>
    <t>33/39 z 25/1</t>
  </si>
  <si>
    <t>34/43 z 22/2</t>
  </si>
  <si>
    <t>37/2 z 17/5</t>
  </si>
  <si>
    <t>38/193 z 14/6</t>
  </si>
  <si>
    <t>Asistenti pedagoga</t>
  </si>
  <si>
    <t>37/17 z 17/5</t>
  </si>
  <si>
    <t>Mzdové prostředky školství</t>
  </si>
  <si>
    <t>37/16 z 17/5</t>
  </si>
  <si>
    <t>39/20 z 6/9</t>
  </si>
  <si>
    <t>Syst. podpora výuky ČJ</t>
  </si>
  <si>
    <t>37/8 z 17/5</t>
  </si>
  <si>
    <t>Sociální služby HMP</t>
  </si>
  <si>
    <t>Podpora vzdělávání</t>
  </si>
  <si>
    <t>ZŠ a MŠ Košíře, Weberova 1/1090 - plavecký bazén</t>
  </si>
  <si>
    <t>Primární prevence ve školách</t>
  </si>
  <si>
    <t>Adiktologické služby</t>
  </si>
  <si>
    <t>Prevence kriminality</t>
  </si>
  <si>
    <t>Včelařský kroužek ZŠW Jinonice</t>
  </si>
  <si>
    <t>33/48 z 25/1</t>
  </si>
  <si>
    <t>34/52 z 22/2</t>
  </si>
  <si>
    <t>35/10 z 22/3</t>
  </si>
  <si>
    <t>37/97 z 17/5</t>
  </si>
  <si>
    <t>37/99 z 17/5</t>
  </si>
  <si>
    <t>37/110 z 17/5</t>
  </si>
  <si>
    <t>37/113 z 17/5</t>
  </si>
  <si>
    <t>Rezerva - Rekonstrukce Raudnitzova domu, Hlubočepy</t>
  </si>
  <si>
    <t>Venkovní učebna - včelín v ZŠW Praha 5 - Jinonice</t>
  </si>
  <si>
    <t>35/17 z 22/3</t>
  </si>
  <si>
    <t xml:space="preserve">Úspora investičního přísp. </t>
  </si>
  <si>
    <t>Hřiště Hlubočepy</t>
  </si>
  <si>
    <t>2/43 z 13/12</t>
  </si>
  <si>
    <t>ponechané účelové investiční a neinvestiční prostředky z r. 2017 k využití v r. 2018</t>
  </si>
  <si>
    <t>35/16 z 22/3</t>
  </si>
  <si>
    <t>VHP (RO 3019, 3121)</t>
  </si>
  <si>
    <t>Volba prezidenta ČR</t>
  </si>
  <si>
    <t>175 z 30.1.</t>
  </si>
  <si>
    <t>Volby do ZHMP, ZMČ a 1/3 Senátu</t>
  </si>
  <si>
    <t>2719 z 23.10.</t>
  </si>
  <si>
    <t>Aktualizace pasportu zeleně</t>
  </si>
  <si>
    <t>1173 z 22.5.</t>
  </si>
  <si>
    <t>SPOD I. splátka</t>
  </si>
  <si>
    <t>1089 z 15.5.</t>
  </si>
  <si>
    <t>SPOD II. splátka</t>
  </si>
  <si>
    <t>2165 z 28.8.</t>
  </si>
  <si>
    <t>Příspěvek na výkon pěstounské péče</t>
  </si>
  <si>
    <t>2791 z 30.10.</t>
  </si>
  <si>
    <t>Podpora poskytování sociálních služeb</t>
  </si>
  <si>
    <t>34/47 z 22.2.</t>
  </si>
  <si>
    <t>39/238 z 6.9.</t>
  </si>
  <si>
    <t>Integrace cizinců</t>
  </si>
  <si>
    <t>991 z 2.5.</t>
  </si>
  <si>
    <t>Příspěvek na výkon sociální práce</t>
  </si>
  <si>
    <t>210 z 6.2.</t>
  </si>
  <si>
    <t>Příspěvek na výkon pěstounské péče - vratka</t>
  </si>
  <si>
    <t>512 z 13.3.</t>
  </si>
  <si>
    <t>2161 z 28/8</t>
  </si>
  <si>
    <t>2781 z 30.10.</t>
  </si>
  <si>
    <t>EU - MŠ Lohniského, snížení energetické náročnosti objektu</t>
  </si>
  <si>
    <t>3176 z 18/12</t>
  </si>
  <si>
    <t>EU - SMART vzdělávání</t>
  </si>
  <si>
    <t>724 z 3.4.</t>
  </si>
  <si>
    <t>3107 z 11.12.</t>
  </si>
  <si>
    <t>EU - Služby péče o děti 1. stupeň</t>
  </si>
  <si>
    <t>1675 z 26.6.</t>
  </si>
  <si>
    <t>EU - Služby péče o děti 1. stupeň - Vratka</t>
  </si>
  <si>
    <t>3099 z 11.12.</t>
  </si>
  <si>
    <t>EU - Služby péče o děti 1. stupeň, zapojení z předchozích let</t>
  </si>
  <si>
    <t>Brussel Program Erasmus + projekt Sport4citizens</t>
  </si>
  <si>
    <t>3176 z 18.12.</t>
  </si>
  <si>
    <t>EU - Kolegiální podpora - rozvoj pedagogů</t>
  </si>
  <si>
    <t>725 z 3.4.</t>
  </si>
  <si>
    <t>EU - Kolegiální podpora - rozvoj pedagogů, zapojení z předchozích let</t>
  </si>
  <si>
    <t>2433 z 11.9.</t>
  </si>
  <si>
    <t>Místní akční plán vzdělávání</t>
  </si>
  <si>
    <t>0526, 0539</t>
  </si>
  <si>
    <t>0526, 0537, 0539</t>
  </si>
  <si>
    <t>0916, 0924, 0926</t>
  </si>
  <si>
    <t>576 z 20.3.</t>
  </si>
  <si>
    <t>578 z 20.3.</t>
  </si>
  <si>
    <t>585 z 20.3.</t>
  </si>
  <si>
    <t>653 z 27.3.</t>
  </si>
  <si>
    <t>658 z 27.3.</t>
  </si>
  <si>
    <t>726 z 3.4.</t>
  </si>
  <si>
    <t>0917, 0924, 0926</t>
  </si>
  <si>
    <t>Pohřebné</t>
  </si>
  <si>
    <t>656 z 27.3.</t>
  </si>
  <si>
    <t>0241, 0341, 0413, 0441, 0513</t>
  </si>
  <si>
    <t>0439, 0426, 0539</t>
  </si>
  <si>
    <t>OPP - pól růst</t>
  </si>
  <si>
    <t>37/19 z 17.5.</t>
  </si>
  <si>
    <t>0539, 0916, 0924, 0926</t>
  </si>
  <si>
    <t>0440, 0413</t>
  </si>
  <si>
    <t>38/23</t>
  </si>
  <si>
    <t>1167 z 22.5.</t>
  </si>
  <si>
    <t>0413, 0417</t>
  </si>
  <si>
    <t>vratka OPPPR ZŠ a MŠ Radlická</t>
  </si>
  <si>
    <t>Místní akční plán vzdělávání - vratka</t>
  </si>
  <si>
    <t>3026 z 4.12.</t>
  </si>
  <si>
    <t>vratka školní obědy</t>
  </si>
  <si>
    <t>3042 z 4.12.</t>
  </si>
  <si>
    <t>Podpora škol - EU Šablony</t>
  </si>
  <si>
    <t>3109 z 11.12.</t>
  </si>
  <si>
    <t>3034 z 4.12.</t>
  </si>
  <si>
    <t>0426, 1009</t>
  </si>
  <si>
    <t>3030 z 4.12.</t>
  </si>
  <si>
    <t>0417, 0426</t>
  </si>
  <si>
    <t>0917, 0926</t>
  </si>
  <si>
    <t>0539, 0926</t>
  </si>
  <si>
    <t>2778 z v 30.10.</t>
  </si>
  <si>
    <t>Pohřebné - vratka</t>
  </si>
  <si>
    <t>2980 z 27.11.</t>
  </si>
  <si>
    <t>2724 z 23.10.</t>
  </si>
  <si>
    <t>2679 z 16.10.</t>
  </si>
  <si>
    <t>0440, 0413, 0517, 0526, 0539</t>
  </si>
  <si>
    <t>39/18</t>
  </si>
  <si>
    <t>0409, 0609</t>
  </si>
  <si>
    <t>2438 z 11.9.</t>
  </si>
  <si>
    <t>2367 z 30.8.</t>
  </si>
  <si>
    <t>1958 z 7.8.</t>
  </si>
  <si>
    <t>1787 z 17.7.</t>
  </si>
  <si>
    <t>100% podíl na daňové povinnosti</t>
  </si>
  <si>
    <t>38/57 z 14/6</t>
  </si>
  <si>
    <t>převod z rozpočtu na účet zdaňované činnosti - refundace mezd za prosinec 2018- rozdíl mezi odhadem a skutečností - přeplatek: (MZDY: 8.586,25 Kč, SP: 2.146,56 Kč a ZP: 567,35 Kč)</t>
  </si>
  <si>
    <t>Anděl Strážný, z.ú.</t>
  </si>
  <si>
    <t xml:space="preserve">Renzo Praha s.r.o. </t>
  </si>
  <si>
    <t>Nedočerpané účelové příspěvky a dotace  z rozpočtu MČ</t>
  </si>
  <si>
    <t>Lata - programy</t>
  </si>
  <si>
    <t>Smlouva č. 0182/0/KST/2018</t>
  </si>
  <si>
    <t>Smlouva 0131/0/KST/2018</t>
  </si>
  <si>
    <t>ERGO Aktiv</t>
  </si>
  <si>
    <t>Český svaz ochránců přírody Zahrabbar</t>
  </si>
  <si>
    <t xml:space="preserve">Sdružení pro komplexní péči při dětské mozkové obrně </t>
  </si>
  <si>
    <t xml:space="preserve">Spolek rodičů při ZŠ a MŠ Barrandov </t>
  </si>
  <si>
    <t xml:space="preserve">Šikovné děti, z.s. </t>
  </si>
  <si>
    <t>převod 3,3 % do sociálního fondu z objemu mezd za měsíc prosinec 2018</t>
  </si>
  <si>
    <t>revitalizace hřiště Pod Kotlářkou - inv. (ORG 80701)</t>
  </si>
  <si>
    <t>převod do fondu rezerv a rozvoje - vratka finančních prostředků z důvodu přeúčtování výdajů na přidělené investiční dotace z MHMP na akci FZŠ a MŠ Barrandov II - stav. úpravy sport. areálu" (218.042 Kč), dále  v rámci Operačního programu Životní prostředí na realizaci projektu MŠ Lohniského, Praha 5 - snížení energetické náročnosti objektu - přeúčtování na faktur na přidělenou dotaci (1.142.190,55 Kč)</t>
  </si>
  <si>
    <t xml:space="preserve">neinvestiční </t>
  </si>
  <si>
    <t>investiční a neinvestiční</t>
  </si>
  <si>
    <t>Příloha č. 1
v tis.Kč</t>
  </si>
  <si>
    <t>2324 - 2329</t>
  </si>
  <si>
    <t>4131 - 4132</t>
  </si>
  <si>
    <t>Přijaté nekapitálové příspěvky a ostatní nedaňové příjmy</t>
  </si>
  <si>
    <t>Třída 8 - Financování (finanční prostředky z minulých let)</t>
  </si>
  <si>
    <t xml:space="preserve">Převody mezi statutárními městy (hl. m. Prahou) a MČ - státní rozpočet </t>
  </si>
  <si>
    <t>Převody mezi statutárními městy (hl. m. Prahou) a MČ - dotace HMP</t>
  </si>
  <si>
    <t>odbor sociální problematiky a prevence kriminality</t>
  </si>
  <si>
    <t>oddělení PR, tiskového a prot.</t>
  </si>
  <si>
    <t xml:space="preserve">Příloha 
č. 2 
v Kč </t>
  </si>
  <si>
    <t xml:space="preserve">Přehled účelových transferů z rozpočtu MHMP, včetně jejich čerpání  </t>
  </si>
  <si>
    <t xml:space="preserve">Přehled účelových transferů z rozpočtu MHMP a EU, včetně jejich čerpání  </t>
  </si>
  <si>
    <r>
      <t>dar od společnosti MAST INTERNATIONAL,spol. s.r.o. – vybudování veřejné infrastruktury související s projektem „Hotel Mozart“</t>
    </r>
    <r>
      <rPr>
        <sz val="10"/>
        <color indexed="8"/>
        <rFont val="Arial"/>
        <family val="2"/>
      </rPr>
      <t xml:space="preserve">  </t>
    </r>
  </si>
  <si>
    <t>Investiční rezerva - nečerpané finanční prostředky z rozpočtové rezervy</t>
  </si>
  <si>
    <t>Dům s pečovatelskou službou, objekt Zubatého 330/10 - přestavba suterénních prostor a řešení vlhkosti a odvětrávání</t>
  </si>
  <si>
    <t>Nám. 14. října - 802/11 - Nebytový prostor v domě nám. 14. října, - kancelář CSOP Praha 5 p. o., pečovatelská služba, čp. 802/11 - stavební úpravy</t>
  </si>
  <si>
    <t>Příloha
č. 4 
v tis. Kč</t>
  </si>
  <si>
    <t xml:space="preserve">          Přehled účelových transferů ze státního rozpočtu a EU, včetně jejich čerpání</t>
  </si>
  <si>
    <t xml:space="preserve">                                 Výsledky hospodaření Městské části Praha 5 za rok 2018
                       Zdaňovaná činnost - správní firmy</t>
  </si>
  <si>
    <t>Příloha č. 5
v tis.Kč</t>
  </si>
  <si>
    <t xml:space="preserve">                                     Výsledky hospodaření Městské části Praha 5 za rok 2018                  
                                        Ostatní zdaňovaná činnost - odbory</t>
  </si>
  <si>
    <t xml:space="preserve">                                     Výsledky hospodaření Městské části Praha 5 za rok 2018                                                         
                                        Ostatní zdaňovaná činnost - odbory</t>
  </si>
  <si>
    <t xml:space="preserve">                                     Výsledky hospodaření Městské části Praha 5 za rok  2018                                                                     
                                        Ostatní zdaňovaná činnost - odbory</t>
  </si>
  <si>
    <t>Příloha č. 6
 v tis. Kč</t>
  </si>
  <si>
    <t>Příloha č. 6 
v tis. Kč</t>
  </si>
  <si>
    <t>Ostatní zdaňovaná činnost - odbory</t>
  </si>
  <si>
    <t>Zdaňovaná činnost - správní firmy</t>
  </si>
  <si>
    <t xml:space="preserve">                Výsledky hospodaření Městské části Praha 5 za rok 2018
              Příspěvkové organizace</t>
  </si>
  <si>
    <r>
      <t xml:space="preserve">              Výsledky hospodaření Městské části Praha 5 za rok 2018  
        Příspěvkové organizace - příděly do fondů a stanovení odvodů                                         </t>
    </r>
  </si>
  <si>
    <t>Příloha č. 9
v tis.Kč</t>
  </si>
  <si>
    <t>Organizace</t>
  </si>
  <si>
    <t>Doplňková činnost</t>
  </si>
  <si>
    <t>fond</t>
  </si>
  <si>
    <t>odměn</t>
  </si>
  <si>
    <t>rezervní</t>
  </si>
  <si>
    <t>Odvod</t>
  </si>
  <si>
    <t>MŠ U Železn. mostu 2629</t>
  </si>
  <si>
    <t xml:space="preserve">                    Výsledky hospodaření Městské části Praha 5 za rok 2018
                    Odměňování členů zastupitelstva</t>
  </si>
  <si>
    <t xml:space="preserve">                    Přehled o pohybu dlouhodobého majetku Městské části Praha 5                                                          
                   za roky 2016 - 2018</t>
  </si>
  <si>
    <t>013 - Dlouhodobý nehmotný majetek nad 60 tis. Kč</t>
  </si>
  <si>
    <t>022 - Dlouhodobý hmotný majetek nad 40 tis. Kč</t>
  </si>
  <si>
    <t xml:space="preserve">                  Vyúčtování finančních vztahů Městské části 
                  za rok 2018                </t>
  </si>
  <si>
    <t xml:space="preserve">                   Výsledky hospodaření Městské části Praha 5 za rok 2018
                   Kapitálové výdaje</t>
  </si>
  <si>
    <t>celkem kapitola 01 - Územní rozvoj a rozvoj bydlení</t>
  </si>
  <si>
    <t>celkem kapitola 02 - Městská zeleň a ochrana životního prostředí</t>
  </si>
  <si>
    <t>celkem kapitola 03 - Doprava</t>
  </si>
  <si>
    <t>celkem kapitola 04 - Školství</t>
  </si>
  <si>
    <t xml:space="preserve">celkem kapitola 05 - Sociální věci a zdravotnictví  </t>
  </si>
  <si>
    <t>celkem kapitola 06 - Kultura</t>
  </si>
  <si>
    <t>celkem kapitola 07 - Bezpečnost a veřejný pořádek</t>
  </si>
  <si>
    <t>celkem kapitola 08 - Bytové hospodářství a nebytové hospodářství</t>
  </si>
  <si>
    <t>celkem kapitola 09 - Místní správa</t>
  </si>
  <si>
    <t>celkem kapitola 10 - Ostatní činnosti</t>
  </si>
  <si>
    <t>Rekonstrukce nebyt. prostoru, Preslova 2213/5 - přestavba nebytového prostoru na kanceláře ÚMČ Praha 5</t>
  </si>
  <si>
    <t>028 - Drobný dlouhodobý hmotný majetek (3-40 tis. Kč)</t>
  </si>
  <si>
    <t>022 - Dlouhodobý hmotný majetek (nad 40 tis. Kč)</t>
  </si>
  <si>
    <t>018 - Drobný dlouhodobý nehmotný majetek (7-60 tis. Kč)</t>
  </si>
  <si>
    <t>013 - Dlouhodobý nehmotný majetek (nad 60 tis. Kč)</t>
  </si>
  <si>
    <t>036 - Pozemky určené k prodeji</t>
  </si>
  <si>
    <t>CELKOVÝ  VÝSLEDEK  HOSPODAŘENÍ PO ODVODECH</t>
  </si>
  <si>
    <t>účet
druh majetku</t>
  </si>
  <si>
    <t>018 - Drobný dlouhodobý nehmotný majetek  (7-60 tis. Kč)</t>
  </si>
  <si>
    <t xml:space="preserve">volby do ZHMP, ZMČ a 1/3 senátu 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</si>
</sst>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#,##0.0_ ;[Red]\-#,##0.0\ "/>
    <numFmt numFmtId="175" formatCode="#,##0.0;[Red]#,##0.0"/>
    <numFmt numFmtId="176" formatCode="0.0"/>
    <numFmt numFmtId="177" formatCode="#,##0.0"/>
    <numFmt numFmtId="178" formatCode="0.0_ ;[Red]\-0.0\ "/>
    <numFmt numFmtId="179" formatCode="0.000_ ;[Red]\-0.000\ 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\ &quot;Kč&quot;"/>
    <numFmt numFmtId="185" formatCode="0.0%"/>
    <numFmt numFmtId="186" formatCode="#,##0.0\ &quot;Kč&quot;"/>
    <numFmt numFmtId="187" formatCode="0.000%"/>
    <numFmt numFmtId="188" formatCode="[$€-2]\ #\ ##,000_);[Red]\([$€-2]\ #\ ##,000\)"/>
    <numFmt numFmtId="189" formatCode="[$-405]d\.\ mmmm\ yyyy"/>
    <numFmt numFmtId="190" formatCode="0.0;[Red]0.0"/>
    <numFmt numFmtId="191" formatCode="0.000"/>
  </numFmts>
  <fonts count="10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b/>
      <sz val="14"/>
      <name val="Times New Roman CE"/>
      <family val="1"/>
    </font>
    <font>
      <sz val="14"/>
      <name val="Arial CE"/>
      <family val="0"/>
    </font>
    <font>
      <b/>
      <sz val="14"/>
      <name val="Times New Roman"/>
      <family val="1"/>
    </font>
    <font>
      <b/>
      <sz val="11"/>
      <name val="Times New Roman CE"/>
      <family val="0"/>
    </font>
    <font>
      <sz val="9"/>
      <name val="Arial CE"/>
      <family val="0"/>
    </font>
    <font>
      <sz val="11"/>
      <name val="Arial CE"/>
      <family val="0"/>
    </font>
    <font>
      <sz val="11"/>
      <name val="Times New Roman"/>
      <family val="1"/>
    </font>
    <font>
      <b/>
      <sz val="14"/>
      <name val="Arial CE"/>
      <family val="0"/>
    </font>
    <font>
      <sz val="14"/>
      <name val="Times New Roman CE"/>
      <family val="1"/>
    </font>
    <font>
      <b/>
      <sz val="18"/>
      <name val="Times New Roman CE"/>
      <family val="0"/>
    </font>
    <font>
      <b/>
      <sz val="12"/>
      <name val="Arial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20"/>
      <name val="Arial CE"/>
      <family val="0"/>
    </font>
    <font>
      <sz val="22"/>
      <name val="Arial CE"/>
      <family val="0"/>
    </font>
    <font>
      <b/>
      <sz val="22"/>
      <name val="Times New Roman CE"/>
      <family val="1"/>
    </font>
    <font>
      <b/>
      <sz val="22"/>
      <name val="Arial CE"/>
      <family val="0"/>
    </font>
    <font>
      <b/>
      <sz val="22"/>
      <name val="Times New Roman"/>
      <family val="1"/>
    </font>
    <font>
      <sz val="22"/>
      <name val="Times New Roman CE"/>
      <family val="1"/>
    </font>
    <font>
      <sz val="22"/>
      <name val="Times New Roman"/>
      <family val="1"/>
    </font>
    <font>
      <sz val="20"/>
      <name val="Times New Roman CE"/>
      <family val="1"/>
    </font>
    <font>
      <b/>
      <sz val="20"/>
      <name val="Times New Roman CE"/>
      <family val="1"/>
    </font>
    <font>
      <sz val="8"/>
      <name val="Arial CE"/>
      <family val="0"/>
    </font>
    <font>
      <sz val="8"/>
      <name val="Times New Roman"/>
      <family val="1"/>
    </font>
    <font>
      <b/>
      <sz val="26"/>
      <name val="Times New Roman CE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36"/>
      <color indexed="8"/>
      <name val="Arial"/>
      <family val="2"/>
    </font>
    <font>
      <sz val="36"/>
      <name val="Arial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 style="medium"/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theme="0" tint="-0.149959996342659"/>
      </left>
      <right style="thin">
        <color indexed="22"/>
      </right>
      <top style="thin"/>
      <bottom style="thin">
        <color indexed="22"/>
      </bottom>
    </border>
    <border>
      <left style="thin">
        <color theme="0" tint="-0.14995999634265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theme="0" tint="-0.24993999302387238"/>
      </left>
      <right style="thin">
        <color indexed="22"/>
      </right>
      <top style="thin"/>
      <bottom style="thin">
        <color indexed="22"/>
      </bottom>
    </border>
    <border>
      <left style="thin">
        <color theme="0" tint="-0.2499399930238723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theme="0" tint="-0.24993999302387238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indexed="22"/>
      </right>
      <top style="thin"/>
      <bottom>
        <color indexed="63"/>
      </bottom>
    </border>
    <border>
      <left style="thin">
        <color theme="0" tint="-0.24993999302387238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/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3499799966812134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>
        <color theme="0" tint="-0.24993999302387238"/>
      </right>
      <top style="thin"/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theme="0" tint="-0.2499399930238723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 style="thin">
        <color indexed="22"/>
      </bottom>
    </border>
    <border>
      <left style="thin"/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theme="0" tint="-0.24993999302387238"/>
      </right>
      <top style="thin">
        <color indexed="22"/>
      </top>
      <bottom>
        <color indexed="63"/>
      </bottom>
    </border>
    <border>
      <left style="thin"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>
        <color theme="0" tint="-0.24993999302387238"/>
      </left>
      <right style="thin"/>
      <top style="double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theme="0" tint="-0.149959996342659"/>
      </right>
      <top style="thin"/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149959996342659"/>
      </top>
      <bottom style="thin"/>
    </border>
    <border>
      <left style="thin">
        <color theme="0" tint="-0.24993999302387238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149959996342659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/>
    </border>
    <border>
      <left style="thin">
        <color indexed="22"/>
      </left>
      <right style="thin">
        <color indexed="22"/>
      </right>
      <top style="thin">
        <color theme="0" tint="-0.149959996342659"/>
      </top>
      <bottom style="thin"/>
    </border>
    <border>
      <left style="thin">
        <color indexed="22"/>
      </left>
      <right style="thin"/>
      <top style="thin">
        <color theme="0" tint="-0.149959996342659"/>
      </top>
      <bottom style="thin"/>
    </border>
    <border>
      <left style="thin">
        <color theme="0" tint="-0.24993999302387238"/>
      </left>
      <right style="thin">
        <color theme="0" tint="-0.3499799966812134"/>
      </right>
      <top style="thin">
        <color theme="0" tint="-0.149959996342659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indexed="22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>
        <color indexed="22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indexed="22"/>
      </top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2499700039625167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7000396251678"/>
      </bottom>
    </border>
    <border>
      <left style="thin">
        <color indexed="22"/>
      </left>
      <right style="thin"/>
      <top style="thin"/>
      <bottom style="thin">
        <color theme="0" tint="-0.24997000396251678"/>
      </bottom>
    </border>
    <border>
      <left style="thin"/>
      <right style="thin"/>
      <top style="thin"/>
      <bottom style="thin">
        <color theme="0" tint="-0.24997000396251678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55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55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thin"/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>
        <color indexed="63"/>
      </left>
      <right style="thin"/>
      <top style="thin">
        <color theme="0" tint="-0.24997000396251678"/>
      </top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/>
      <top style="thin"/>
      <bottom style="thin"/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>
        <color indexed="63"/>
      </left>
      <right style="thin">
        <color theme="0" tint="-0.3499799966812134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/>
      <right style="thin">
        <color indexed="22"/>
      </right>
      <top style="thin"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indexed="22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 style="thin">
        <color indexed="22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indexed="22"/>
      </right>
      <top>
        <color indexed="63"/>
      </top>
      <bottom style="thin">
        <color theme="0" tint="-0.14995999634265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149959996342659"/>
      </bottom>
    </border>
    <border>
      <left style="thin">
        <color indexed="22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/>
      <bottom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>
        <color indexed="22"/>
      </right>
      <top style="thin"/>
      <bottom style="thin"/>
    </border>
    <border>
      <left style="thin">
        <color theme="0" tint="-0.3499799966812134"/>
      </left>
      <right style="thin"/>
      <top style="thin"/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theme="0" tint="-0.24997000396251678"/>
      </right>
      <top style="thin"/>
      <bottom style="thin">
        <color theme="0" tint="-0.24997000396251678"/>
      </bottom>
    </border>
    <border>
      <left style="thin"/>
      <right style="thin">
        <color indexed="22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indexed="22"/>
      </left>
      <right style="thin">
        <color indexed="22"/>
      </right>
      <top style="thin">
        <color theme="0" tint="-0.24997000396251678"/>
      </top>
      <bottom>
        <color indexed="63"/>
      </bottom>
    </border>
    <border>
      <left style="thin">
        <color indexed="22"/>
      </left>
      <right style="thin"/>
      <top style="thin">
        <color theme="0" tint="-0.24997000396251678"/>
      </top>
      <bottom>
        <color indexed="63"/>
      </bottom>
    </border>
    <border>
      <left style="thin"/>
      <right style="thin">
        <color indexed="22"/>
      </right>
      <top style="thin">
        <color theme="0" tint="-0.24997000396251678"/>
      </top>
      <bottom style="thin"/>
    </border>
    <border>
      <left style="thin">
        <color indexed="22"/>
      </left>
      <right style="thin">
        <color indexed="22"/>
      </right>
      <top style="thin">
        <color theme="0" tint="-0.24997000396251678"/>
      </top>
      <bottom style="thin"/>
    </border>
    <border>
      <left style="thin">
        <color indexed="22"/>
      </left>
      <right style="thin"/>
      <top style="thin">
        <color theme="0" tint="-0.24997000396251678"/>
      </top>
      <bottom style="thin"/>
    </border>
    <border>
      <left style="thin"/>
      <right style="thin"/>
      <top style="thin">
        <color theme="0" tint="-0.24997000396251678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theme="0" tint="-0.2499399930238723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theme="0" tint="-0.24993999302387238"/>
      </bottom>
    </border>
    <border>
      <left style="thin">
        <color indexed="55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55"/>
      </left>
      <right style="thin">
        <color indexed="55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55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dashed">
        <color theme="0" tint="-0.24993999302387238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theme="0" tint="-0.149959996342659"/>
      </bottom>
    </border>
    <border>
      <left style="thin">
        <color indexed="55"/>
      </left>
      <right style="thin">
        <color indexed="55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/>
      <top>
        <color indexed="63"/>
      </top>
      <bottom style="thin">
        <color theme="0" tint="-0.149959996342659"/>
      </bottom>
    </border>
    <border>
      <left style="thin">
        <color indexed="22"/>
      </left>
      <right style="thin">
        <color indexed="22"/>
      </right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>
        <color theme="0" tint="-0.24997000396251678"/>
      </bottom>
    </border>
    <border>
      <left style="thin"/>
      <right style="thin">
        <color indexed="55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22"/>
      </left>
      <right style="thin"/>
      <top style="thin">
        <color theme="0" tint="-0.24997000396251678"/>
      </top>
      <bottom style="thin">
        <color theme="0" tint="-0.149959996342659"/>
      </bottom>
    </border>
    <border>
      <left style="thin"/>
      <right style="thin"/>
      <top style="thin">
        <color theme="0" tint="-0.24997000396251678"/>
      </top>
      <bottom style="thin">
        <color theme="0" tint="-0.149959996342659"/>
      </bottom>
    </border>
    <border>
      <left style="thin"/>
      <right style="thin">
        <color indexed="55"/>
      </right>
      <top style="thin">
        <color theme="0" tint="-0.14995999634265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theme="0" tint="-0.149959996342659"/>
      </top>
      <bottom>
        <color indexed="63"/>
      </bottom>
    </border>
    <border>
      <left style="thin">
        <color indexed="55"/>
      </left>
      <right style="thin"/>
      <top style="thin">
        <color theme="0" tint="-0.149959996342659"/>
      </top>
      <bottom>
        <color indexed="63"/>
      </bottom>
    </border>
    <border>
      <left style="thin"/>
      <right style="thin">
        <color theme="0" tint="-0.149959996342659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>
        <color indexed="63"/>
      </left>
      <right style="thin"/>
      <top style="thin"/>
      <bottom style="thin">
        <color theme="0" tint="-0.24997000396251678"/>
      </bottom>
    </border>
    <border>
      <left style="thin"/>
      <right style="thin">
        <color theme="0" tint="-0.24997000396251678"/>
      </right>
      <top style="thin"/>
      <bottom>
        <color indexed="63"/>
      </bottom>
    </border>
    <border>
      <left style="thin"/>
      <right style="thin">
        <color theme="0" tint="-0.24997000396251678"/>
      </right>
      <top>
        <color indexed="63"/>
      </top>
      <bottom>
        <color indexed="63"/>
      </bottom>
    </border>
    <border>
      <left style="thin"/>
      <right style="thin"/>
      <top style="thin">
        <color theme="0" tint="-0.24997000396251678"/>
      </top>
      <bottom>
        <color indexed="63"/>
      </bottom>
    </border>
    <border>
      <left style="thin"/>
      <right style="thin">
        <color theme="0" tint="-0.24997000396251678"/>
      </right>
      <top style="thin">
        <color theme="0" tint="-0.149959996342659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22"/>
      </left>
      <right style="thin"/>
      <top style="thin">
        <color theme="0" tint="-0.149959996342659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>
        <color theme="0" tint="-0.149959996342659"/>
      </bottom>
    </border>
    <border>
      <left style="thin">
        <color indexed="55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>
        <color indexed="22"/>
      </right>
      <top>
        <color indexed="63"/>
      </top>
      <bottom style="thin">
        <color theme="0" tint="-0.2499700039625167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7000396251678"/>
      </bottom>
    </border>
    <border>
      <left style="thin">
        <color indexed="22"/>
      </left>
      <right style="thin"/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indexed="55"/>
      </right>
      <top style="thin">
        <color theme="0" tint="-0.149959996342659"/>
      </top>
      <bottom style="thin"/>
    </border>
    <border>
      <left>
        <color indexed="63"/>
      </left>
      <right style="thin"/>
      <top style="thin">
        <color theme="0" tint="-0.149959996342659"/>
      </top>
      <bottom style="thin"/>
    </border>
    <border>
      <left style="thin"/>
      <right style="thin">
        <color indexed="55"/>
      </right>
      <top style="thin">
        <color theme="0" tint="-0.149959996342659"/>
      </top>
      <bottom style="thin"/>
    </border>
    <border>
      <left style="thin"/>
      <right style="thin">
        <color indexed="55"/>
      </right>
      <top style="thin"/>
      <bottom style="thin">
        <color theme="0" tint="-0.149959996342659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/>
      <bottom style="double"/>
    </border>
    <border>
      <left style="thin">
        <color indexed="55"/>
      </left>
      <right style="thin">
        <color indexed="55"/>
      </right>
      <top style="thin"/>
      <bottom style="double"/>
    </border>
    <border>
      <left style="thin">
        <color indexed="55"/>
      </left>
      <right style="thin"/>
      <top style="thin"/>
      <bottom style="double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>
        <color theme="0" tint="-0.24997000396251678"/>
      </right>
      <top style="double"/>
      <bottom style="thin"/>
    </border>
    <border>
      <left style="thin">
        <color theme="0" tint="-0.24997000396251678"/>
      </left>
      <right style="thin">
        <color theme="0" tint="-0.24997000396251678"/>
      </right>
      <top style="double"/>
      <bottom style="thin"/>
    </border>
    <border>
      <left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indexed="22"/>
      </bottom>
    </border>
    <border>
      <left style="thin">
        <color theme="0" tint="-0.24993999302387238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medium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theme="0" tint="-0.149959996342659"/>
      </top>
      <bottom style="thin">
        <color indexed="22"/>
      </bottom>
    </border>
    <border>
      <left style="thin"/>
      <right style="thin"/>
      <top style="thin">
        <color theme="0" tint="-0.149959996342659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thin">
        <color indexed="22"/>
      </top>
      <bottom style="double"/>
    </border>
    <border>
      <left style="medium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theme="0" tint="-0.24997000396251678"/>
      </top>
      <bottom>
        <color indexed="63"/>
      </bottom>
    </border>
    <border>
      <left style="thin"/>
      <right style="thin">
        <color indexed="55"/>
      </right>
      <top style="thin">
        <color theme="0" tint="-0.24997000396251678"/>
      </top>
      <bottom style="thin"/>
    </border>
    <border>
      <left style="thin">
        <color indexed="55"/>
      </left>
      <right style="thin">
        <color indexed="55"/>
      </right>
      <top style="thin">
        <color theme="0" tint="-0.24997000396251678"/>
      </top>
      <bottom style="thin">
        <color theme="0" tint="-0.149959996342659"/>
      </bottom>
    </border>
    <border>
      <left style="thin">
        <color indexed="55"/>
      </left>
      <right style="thin">
        <color indexed="55"/>
      </right>
      <top style="thin">
        <color theme="0" tint="-0.2499700039625167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theme="0" tint="-0.24997000396251678"/>
      </top>
      <bottom style="thin"/>
    </border>
    <border>
      <left style="thin">
        <color indexed="55"/>
      </left>
      <right style="thin">
        <color indexed="55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55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>
        <color indexed="55"/>
      </left>
      <right style="thin"/>
      <top style="thin">
        <color theme="0" tint="-0.24997000396251678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theme="0" tint="-0.24997000396251678"/>
      </bottom>
    </border>
    <border>
      <left style="thin"/>
      <right style="thin">
        <color indexed="55"/>
      </right>
      <top style="thin"/>
      <bottom style="thin">
        <color theme="0" tint="-0.24997000396251678"/>
      </bottom>
    </border>
    <border>
      <left style="thin"/>
      <right style="thin">
        <color theme="0" tint="-0.149959996342659"/>
      </right>
      <top/>
      <bottom/>
    </border>
    <border>
      <left style="thin">
        <color theme="0" tint="-0.24997000396251678"/>
      </left>
      <right style="thin">
        <color indexed="55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indexed="55"/>
      </right>
      <top>
        <color indexed="63"/>
      </top>
      <bottom style="thin">
        <color theme="0" tint="-0.149959996342659"/>
      </bottom>
    </border>
    <border>
      <left style="thin"/>
      <right style="thin">
        <color indexed="55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7000396251678"/>
      </left>
      <right style="thin"/>
      <top style="thin">
        <color theme="0" tint="-0.24997000396251678"/>
      </top>
      <bottom>
        <color indexed="63"/>
      </bottom>
    </border>
    <border>
      <left style="thin">
        <color indexed="22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149959996342659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 style="thin"/>
      <bottom style="thin">
        <color theme="0" tint="-0.149959996342659"/>
      </bottom>
    </border>
    <border>
      <left style="thin">
        <color indexed="55"/>
      </left>
      <right style="thin"/>
      <top style="thin"/>
      <bottom style="thin">
        <color theme="0" tint="-0.24997000396251678"/>
      </bottom>
    </border>
    <border>
      <left style="thin">
        <color theme="0" tint="-0.149959996342659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theme="0" tint="-0.24997000396251678"/>
      </top>
      <bottom style="thin">
        <color theme="0" tint="-0.149959996342659"/>
      </bottom>
    </border>
    <border>
      <left style="thin">
        <color indexed="55"/>
      </left>
      <right style="thin"/>
      <top style="thin">
        <color theme="0" tint="-0.24997000396251678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55"/>
      </right>
      <top style="thin">
        <color theme="0" tint="-0.24997000396251678"/>
      </top>
      <bottom>
        <color indexed="63"/>
      </bottom>
    </border>
    <border>
      <left style="thin"/>
      <right>
        <color indexed="63"/>
      </right>
      <top style="thin">
        <color theme="0" tint="-0.24997000396251678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149959996342659"/>
      </left>
      <right style="thin">
        <color indexed="55"/>
      </right>
      <top style="thin">
        <color theme="0" tint="-0.24997000396251678"/>
      </top>
      <bottom style="thin"/>
    </border>
    <border>
      <left style="thin">
        <color theme="0" tint="-0.149959996342659"/>
      </left>
      <right style="thin">
        <color indexed="55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 style="thin"/>
      <top style="thin">
        <color theme="0" tint="-0.24997000396251678"/>
      </top>
      <bottom style="thin"/>
    </border>
    <border>
      <left style="thin"/>
      <right style="thin">
        <color indexed="55"/>
      </right>
      <top style="thin">
        <color theme="0" tint="-0.24997000396251678"/>
      </top>
      <bottom style="thin">
        <color theme="0" tint="-0.24993999302387238"/>
      </bottom>
    </border>
    <border>
      <left style="thin">
        <color indexed="55"/>
      </left>
      <right style="thin">
        <color indexed="55"/>
      </right>
      <top style="thin">
        <color theme="0" tint="-0.24997000396251678"/>
      </top>
      <bottom style="thin">
        <color theme="0" tint="-0.24993999302387238"/>
      </bottom>
    </border>
    <border>
      <left style="thin">
        <color indexed="55"/>
      </left>
      <right style="thin"/>
      <top style="thin">
        <color theme="0" tint="-0.24997000396251678"/>
      </top>
      <bottom style="thin">
        <color theme="0" tint="-0.24993999302387238"/>
      </bottom>
    </border>
    <border>
      <left style="thin">
        <color indexed="55"/>
      </left>
      <right style="thin">
        <color indexed="55"/>
      </right>
      <top style="thin">
        <color theme="0" tint="-0.149959996342659"/>
      </top>
      <bottom style="thin">
        <color theme="0" tint="-0.24997000396251678"/>
      </bottom>
    </border>
    <border>
      <left style="thin">
        <color indexed="55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theme="0" tint="-0.149959996342659"/>
      </bottom>
    </border>
    <border>
      <left style="thin">
        <color indexed="55"/>
      </left>
      <right style="thin">
        <color theme="0" tint="-0.3499799966812134"/>
      </right>
      <top style="thin">
        <color theme="0" tint="-0.24997000396251678"/>
      </top>
      <bottom style="thin"/>
    </border>
    <border>
      <left>
        <color indexed="63"/>
      </left>
      <right style="thin">
        <color theme="0" tint="-0.149959996342659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/>
      <right/>
      <top style="medium"/>
      <bottom style="thick"/>
    </border>
    <border>
      <left style="thin"/>
      <right style="thin"/>
      <top style="medium"/>
      <bottom style="thick"/>
    </border>
    <border>
      <left/>
      <right style="medium"/>
      <top style="medium"/>
      <bottom style="thick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/>
      <top style="double"/>
      <bottom style="medium">
        <color theme="1"/>
      </bottom>
    </border>
    <border>
      <left style="thin"/>
      <right style="thin"/>
      <top style="double"/>
      <bottom style="medium">
        <color theme="1"/>
      </bottom>
    </border>
    <border>
      <left style="thin"/>
      <right style="medium"/>
      <top style="double"/>
      <bottom style="medium">
        <color theme="1"/>
      </bottom>
    </border>
    <border>
      <left style="thin"/>
      <right>
        <color indexed="63"/>
      </right>
      <top style="double"/>
      <bottom style="medium">
        <color theme="1"/>
      </bottom>
    </border>
    <border>
      <left style="medium"/>
      <right style="thin"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medium">
        <color theme="1"/>
      </left>
      <right style="thin"/>
      <top style="thin"/>
      <bottom style="thin">
        <color indexed="55"/>
      </bottom>
    </border>
    <border>
      <left style="thin">
        <color indexed="55"/>
      </left>
      <right style="medium">
        <color theme="1"/>
      </right>
      <top>
        <color indexed="63"/>
      </top>
      <bottom style="thin">
        <color indexed="55"/>
      </bottom>
    </border>
    <border>
      <left style="medium">
        <color theme="1"/>
      </left>
      <right style="thin"/>
      <top>
        <color indexed="63"/>
      </top>
      <bottom style="thin">
        <color indexed="55"/>
      </bottom>
    </border>
    <border>
      <left style="medium">
        <color theme="1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theme="1"/>
      </right>
      <top style="thin">
        <color indexed="55"/>
      </top>
      <bottom style="thin">
        <color indexed="55"/>
      </bottom>
    </border>
    <border>
      <left style="medium">
        <color theme="1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medium">
        <color theme="1"/>
      </right>
      <top style="thin">
        <color indexed="55"/>
      </top>
      <bottom>
        <color indexed="63"/>
      </bottom>
    </border>
    <border>
      <left style="medium">
        <color theme="1"/>
      </left>
      <right style="thin"/>
      <top style="thin">
        <color indexed="55"/>
      </top>
      <bottom style="double"/>
    </border>
    <border>
      <left style="thin">
        <color indexed="55"/>
      </left>
      <right style="medium">
        <color theme="1"/>
      </right>
      <top style="thin">
        <color indexed="55"/>
      </top>
      <bottom style="double"/>
    </border>
    <border>
      <left style="medium">
        <color theme="1"/>
      </left>
      <right>
        <color indexed="63"/>
      </right>
      <top style="double"/>
      <bottom style="medium"/>
    </border>
    <border>
      <left style="thin">
        <color theme="0" tint="-0.24993999302387238"/>
      </left>
      <right style="medium">
        <color theme="1"/>
      </right>
      <top style="double"/>
      <bottom style="medium"/>
    </border>
    <border>
      <left style="medium">
        <color theme="1"/>
      </left>
      <right/>
      <top style="medium"/>
      <bottom style="thin">
        <color indexed="55"/>
      </bottom>
    </border>
    <border>
      <left style="medium">
        <color theme="1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theme="1"/>
      </left>
      <right/>
      <top style="double"/>
      <bottom style="medium">
        <color theme="1"/>
      </bottom>
    </border>
    <border>
      <left/>
      <right/>
      <top style="double"/>
      <bottom style="medium">
        <color theme="1"/>
      </bottom>
    </border>
    <border>
      <left style="thin"/>
      <right style="thin">
        <color indexed="55"/>
      </right>
      <top style="double"/>
      <bottom style="medium">
        <color theme="1"/>
      </bottom>
    </border>
    <border>
      <left style="thin">
        <color indexed="55"/>
      </left>
      <right style="thin">
        <color indexed="55"/>
      </right>
      <top style="double"/>
      <bottom style="medium">
        <color theme="1"/>
      </bottom>
    </border>
    <border>
      <left style="thin">
        <color indexed="55"/>
      </left>
      <right style="thin"/>
      <top style="double"/>
      <bottom style="medium">
        <color theme="1"/>
      </bottom>
    </border>
    <border>
      <left style="thin">
        <color indexed="55"/>
      </left>
      <right style="medium">
        <color theme="1"/>
      </right>
      <top style="double"/>
      <bottom style="medium">
        <color theme="1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 style="thin">
        <color theme="0" tint="-0.24993999302387238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/>
      <top>
        <color indexed="63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medium"/>
      <top style="thin"/>
      <bottom style="thin"/>
    </border>
    <border>
      <left style="medium"/>
      <right style="double"/>
      <top style="thin"/>
      <bottom style="double"/>
    </border>
    <border>
      <left style="double"/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medium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medium"/>
      <top style="thin"/>
      <bottom>
        <color indexed="63"/>
      </bottom>
    </border>
    <border>
      <left style="double"/>
      <right style="thin">
        <color indexed="55"/>
      </right>
      <top style="double"/>
      <bottom style="thin"/>
    </border>
    <border>
      <left style="thin">
        <color indexed="55"/>
      </left>
      <right/>
      <top style="double"/>
      <bottom style="thin"/>
    </border>
    <border>
      <left style="medium"/>
      <right style="thin">
        <color indexed="55"/>
      </right>
      <top style="double"/>
      <bottom style="thin"/>
    </border>
    <border>
      <left style="thin">
        <color indexed="55"/>
      </left>
      <right style="medium"/>
      <top style="double"/>
      <bottom style="thin"/>
    </border>
    <border>
      <left style="medium"/>
      <right style="double"/>
      <top>
        <color indexed="63"/>
      </top>
      <bottom style="double"/>
    </border>
    <border>
      <left style="double"/>
      <right style="thin">
        <color indexed="55"/>
      </right>
      <top style="hair"/>
      <bottom style="thin"/>
    </border>
    <border>
      <left style="thin">
        <color indexed="55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 style="thin">
        <color theme="0" tint="-0.3499799966812134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theme="0" tint="-0.3499799966812134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theme="0" tint="-0.3499799966812134"/>
      </right>
      <top style="thin">
        <color indexed="55"/>
      </top>
      <bottom style="double"/>
    </border>
    <border>
      <left>
        <color indexed="63"/>
      </left>
      <right style="thin">
        <color indexed="55"/>
      </right>
      <top style="thin">
        <color indexed="55"/>
      </top>
      <bottom style="double"/>
    </border>
    <border>
      <left style="thin"/>
      <right style="thin">
        <color indexed="55"/>
      </right>
      <top style="double"/>
      <bottom style="thin"/>
    </border>
    <border>
      <left style="thin"/>
      <right style="thin">
        <color theme="0" tint="-0.24993999302387238"/>
      </right>
      <top style="double"/>
      <bottom style="thin"/>
    </border>
    <border>
      <left style="thin">
        <color theme="0" tint="-0.24993999302387238"/>
      </left>
      <right style="thin">
        <color theme="0" tint="-0.24993999302387238"/>
      </right>
      <top style="double"/>
      <bottom style="thin"/>
    </border>
    <border>
      <left style="thin">
        <color theme="0" tint="-0.24993999302387238"/>
      </left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hair"/>
      <top style="thin"/>
      <bottom style="thin">
        <color theme="0" tint="-0.24993999302387238"/>
      </bottom>
    </border>
    <border>
      <left style="hair"/>
      <right>
        <color indexed="63"/>
      </right>
      <top style="thin"/>
      <bottom style="thin">
        <color theme="0" tint="-0.24993999302387238"/>
      </bottom>
    </border>
    <border>
      <left style="thin"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hair"/>
      <top style="thin">
        <color theme="0" tint="-0.24993999302387238"/>
      </top>
      <bottom style="thin"/>
    </border>
    <border>
      <left style="hair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double"/>
      <right style="thin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hair"/>
    </border>
    <border>
      <left/>
      <right style="thin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1653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76" fontId="11" fillId="0" borderId="10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185" fontId="11" fillId="0" borderId="10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9" fillId="0" borderId="13" xfId="0" applyNumberFormat="1" applyFont="1" applyBorder="1" applyAlignment="1">
      <alignment vertical="center"/>
    </xf>
    <xf numFmtId="176" fontId="29" fillId="0" borderId="1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85" fontId="15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35" fillId="0" borderId="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177" fontId="18" fillId="0" borderId="18" xfId="0" applyNumberFormat="1" applyFont="1" applyFill="1" applyBorder="1" applyAlignment="1">
      <alignment horizontal="right" vertical="center" wrapText="1"/>
    </xf>
    <xf numFmtId="177" fontId="18" fillId="0" borderId="10" xfId="0" applyNumberFormat="1" applyFont="1" applyFill="1" applyBorder="1" applyAlignment="1">
      <alignment horizontal="right" vertical="center" wrapText="1"/>
    </xf>
    <xf numFmtId="0" fontId="10" fillId="0" borderId="13" xfId="37" applyFont="1" applyFill="1" applyBorder="1" applyAlignment="1" applyProtection="1">
      <alignment horizontal="left" vertical="center"/>
      <protection/>
    </xf>
    <xf numFmtId="177" fontId="23" fillId="0" borderId="18" xfId="0" applyNumberFormat="1" applyFont="1" applyFill="1" applyBorder="1" applyAlignment="1">
      <alignment horizontal="right" vertical="center" wrapText="1"/>
    </xf>
    <xf numFmtId="177" fontId="23" fillId="0" borderId="10" xfId="0" applyNumberFormat="1" applyFont="1" applyFill="1" applyBorder="1" applyAlignment="1">
      <alignment horizontal="right" vertical="center" wrapText="1"/>
    </xf>
    <xf numFmtId="0" fontId="1" fillId="0" borderId="0" xfId="37" applyFill="1" applyBorder="1" applyAlignment="1" applyProtection="1">
      <alignment horizontal="left" vertical="center"/>
      <protection/>
    </xf>
    <xf numFmtId="0" fontId="10" fillId="0" borderId="19" xfId="37" applyFont="1" applyFill="1" applyBorder="1" applyAlignment="1" applyProtection="1">
      <alignment horizontal="left" vertical="center"/>
      <protection/>
    </xf>
    <xf numFmtId="177" fontId="23" fillId="0" borderId="20" xfId="0" applyNumberFormat="1" applyFont="1" applyFill="1" applyBorder="1" applyAlignment="1">
      <alignment horizontal="right" vertical="center" wrapText="1"/>
    </xf>
    <xf numFmtId="177" fontId="23" fillId="0" borderId="21" xfId="0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vertical="center"/>
    </xf>
    <xf numFmtId="177" fontId="18" fillId="0" borderId="23" xfId="0" applyNumberFormat="1" applyFont="1" applyFill="1" applyBorder="1" applyAlignment="1">
      <alignment horizontal="right" vertical="center" wrapText="1"/>
    </xf>
    <xf numFmtId="177" fontId="18" fillId="0" borderId="24" xfId="0" applyNumberFormat="1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vertical="center"/>
    </xf>
    <xf numFmtId="177" fontId="18" fillId="0" borderId="26" xfId="0" applyNumberFormat="1" applyFont="1" applyFill="1" applyBorder="1" applyAlignment="1">
      <alignment horizontal="right" vertical="center" wrapText="1"/>
    </xf>
    <xf numFmtId="177" fontId="18" fillId="0" borderId="27" xfId="0" applyNumberFormat="1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vertical="center"/>
    </xf>
    <xf numFmtId="177" fontId="18" fillId="0" borderId="29" xfId="0" applyNumberFormat="1" applyFont="1" applyFill="1" applyBorder="1" applyAlignment="1">
      <alignment horizontal="right" vertical="center" wrapText="1"/>
    </xf>
    <xf numFmtId="177" fontId="18" fillId="0" borderId="3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177" fontId="33" fillId="0" borderId="0" xfId="0" applyNumberFormat="1" applyFont="1" applyBorder="1" applyAlignment="1">
      <alignment vertical="center"/>
    </xf>
    <xf numFmtId="185" fontId="33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 textRotation="90"/>
    </xf>
    <xf numFmtId="177" fontId="11" fillId="0" borderId="31" xfId="0" applyNumberFormat="1" applyFont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vertical="center"/>
    </xf>
    <xf numFmtId="185" fontId="11" fillId="0" borderId="33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76" fontId="11" fillId="0" borderId="24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85" fontId="11" fillId="0" borderId="24" xfId="0" applyNumberFormat="1" applyFont="1" applyBorder="1" applyAlignment="1">
      <alignment vertical="center"/>
    </xf>
    <xf numFmtId="185" fontId="11" fillId="0" borderId="30" xfId="0" applyNumberFormat="1" applyFont="1" applyBorder="1" applyAlignment="1">
      <alignment vertical="center"/>
    </xf>
    <xf numFmtId="176" fontId="11" fillId="0" borderId="30" xfId="0" applyNumberFormat="1" applyFont="1" applyBorder="1" applyAlignment="1">
      <alignment vertical="center"/>
    </xf>
    <xf numFmtId="176" fontId="11" fillId="0" borderId="27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6" fontId="31" fillId="0" borderId="24" xfId="0" applyNumberFormat="1" applyFont="1" applyBorder="1" applyAlignment="1">
      <alignment vertical="center"/>
    </xf>
    <xf numFmtId="176" fontId="31" fillId="0" borderId="30" xfId="0" applyNumberFormat="1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177" fontId="32" fillId="0" borderId="32" xfId="0" applyNumberFormat="1" applyFont="1" applyBorder="1" applyAlignment="1">
      <alignment vertical="center"/>
    </xf>
    <xf numFmtId="185" fontId="32" fillId="0" borderId="33" xfId="0" applyNumberFormat="1" applyFont="1" applyBorder="1" applyAlignment="1">
      <alignment vertical="center"/>
    </xf>
    <xf numFmtId="185" fontId="32" fillId="0" borderId="36" xfId="0" applyNumberFormat="1" applyFont="1" applyBorder="1" applyAlignment="1">
      <alignment vertical="center"/>
    </xf>
    <xf numFmtId="177" fontId="32" fillId="0" borderId="37" xfId="0" applyNumberFormat="1" applyFont="1" applyBorder="1" applyAlignment="1">
      <alignment vertical="center"/>
    </xf>
    <xf numFmtId="185" fontId="32" fillId="0" borderId="38" xfId="0" applyNumberFormat="1" applyFont="1" applyBorder="1" applyAlignment="1">
      <alignment vertical="center"/>
    </xf>
    <xf numFmtId="177" fontId="33" fillId="0" borderId="35" xfId="0" applyNumberFormat="1" applyFont="1" applyBorder="1" applyAlignment="1">
      <alignment vertical="center"/>
    </xf>
    <xf numFmtId="185" fontId="33" fillId="0" borderId="39" xfId="0" applyNumberFormat="1" applyFont="1" applyBorder="1" applyAlignment="1">
      <alignment vertical="center"/>
    </xf>
    <xf numFmtId="185" fontId="33" fillId="0" borderId="39" xfId="0" applyNumberFormat="1" applyFont="1" applyBorder="1" applyAlignment="1">
      <alignment vertical="center"/>
    </xf>
    <xf numFmtId="177" fontId="33" fillId="0" borderId="35" xfId="0" applyNumberFormat="1" applyFont="1" applyBorder="1" applyAlignment="1">
      <alignment vertical="center"/>
    </xf>
    <xf numFmtId="177" fontId="32" fillId="0" borderId="31" xfId="0" applyNumberFormat="1" applyFont="1" applyBorder="1" applyAlignment="1">
      <alignment vertical="center"/>
    </xf>
    <xf numFmtId="185" fontId="32" fillId="0" borderId="40" xfId="0" applyNumberFormat="1" applyFont="1" applyBorder="1" applyAlignment="1">
      <alignment vertical="center"/>
    </xf>
    <xf numFmtId="176" fontId="31" fillId="0" borderId="41" xfId="0" applyNumberFormat="1" applyFont="1" applyBorder="1" applyAlignment="1">
      <alignment vertical="center"/>
    </xf>
    <xf numFmtId="177" fontId="32" fillId="0" borderId="42" xfId="0" applyNumberFormat="1" applyFont="1" applyBorder="1" applyAlignment="1">
      <alignment vertical="center"/>
    </xf>
    <xf numFmtId="185" fontId="32" fillId="0" borderId="43" xfId="0" applyNumberFormat="1" applyFont="1" applyBorder="1" applyAlignment="1">
      <alignment vertical="center"/>
    </xf>
    <xf numFmtId="176" fontId="29" fillId="0" borderId="0" xfId="0" applyNumberFormat="1" applyFont="1" applyBorder="1" applyAlignment="1">
      <alignment vertical="center"/>
    </xf>
    <xf numFmtId="185" fontId="33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vertical="center"/>
    </xf>
    <xf numFmtId="177" fontId="11" fillId="0" borderId="46" xfId="0" applyNumberFormat="1" applyFont="1" applyBorder="1" applyAlignment="1">
      <alignment vertical="center"/>
    </xf>
    <xf numFmtId="177" fontId="11" fillId="0" borderId="47" xfId="0" applyNumberFormat="1" applyFont="1" applyBorder="1" applyAlignment="1">
      <alignment vertical="center"/>
    </xf>
    <xf numFmtId="177" fontId="11" fillId="0" borderId="46" xfId="0" applyNumberFormat="1" applyFont="1" applyBorder="1" applyAlignment="1">
      <alignment vertical="center"/>
    </xf>
    <xf numFmtId="177" fontId="11" fillId="0" borderId="48" xfId="0" applyNumberFormat="1" applyFont="1" applyBorder="1" applyAlignment="1">
      <alignment vertical="center"/>
    </xf>
    <xf numFmtId="185" fontId="4" fillId="0" borderId="49" xfId="0" applyNumberFormat="1" applyFont="1" applyBorder="1" applyAlignment="1">
      <alignment vertical="center"/>
    </xf>
    <xf numFmtId="177" fontId="11" fillId="0" borderId="50" xfId="0" applyNumberFormat="1" applyFont="1" applyBorder="1" applyAlignment="1">
      <alignment vertical="center"/>
    </xf>
    <xf numFmtId="177" fontId="11" fillId="0" borderId="42" xfId="0" applyNumberFormat="1" applyFont="1" applyBorder="1" applyAlignment="1">
      <alignment vertical="center"/>
    </xf>
    <xf numFmtId="185" fontId="11" fillId="0" borderId="51" xfId="0" applyNumberFormat="1" applyFont="1" applyBorder="1" applyAlignment="1">
      <alignment vertical="center"/>
    </xf>
    <xf numFmtId="185" fontId="11" fillId="0" borderId="52" xfId="0" applyNumberFormat="1" applyFont="1" applyBorder="1" applyAlignment="1">
      <alignment vertical="center"/>
    </xf>
    <xf numFmtId="176" fontId="11" fillId="0" borderId="53" xfId="0" applyNumberFormat="1" applyFont="1" applyBorder="1" applyAlignment="1">
      <alignment vertical="center"/>
    </xf>
    <xf numFmtId="176" fontId="11" fillId="0" borderId="54" xfId="0" applyNumberFormat="1" applyFont="1" applyBorder="1" applyAlignment="1">
      <alignment vertical="center"/>
    </xf>
    <xf numFmtId="177" fontId="11" fillId="0" borderId="54" xfId="0" applyNumberFormat="1" applyFont="1" applyBorder="1" applyAlignment="1">
      <alignment vertical="center"/>
    </xf>
    <xf numFmtId="176" fontId="11" fillId="0" borderId="55" xfId="0" applyNumberFormat="1" applyFont="1" applyBorder="1" applyAlignment="1">
      <alignment vertical="center"/>
    </xf>
    <xf numFmtId="177" fontId="32" fillId="0" borderId="56" xfId="0" applyNumberFormat="1" applyFont="1" applyBorder="1" applyAlignment="1">
      <alignment vertical="center"/>
    </xf>
    <xf numFmtId="177" fontId="32" fillId="0" borderId="47" xfId="0" applyNumberFormat="1" applyFont="1" applyBorder="1" applyAlignment="1">
      <alignment vertical="center"/>
    </xf>
    <xf numFmtId="185" fontId="32" fillId="0" borderId="57" xfId="0" applyNumberFormat="1" applyFont="1" applyBorder="1" applyAlignment="1">
      <alignment vertical="center"/>
    </xf>
    <xf numFmtId="177" fontId="32" fillId="0" borderId="58" xfId="0" applyNumberFormat="1" applyFont="1" applyBorder="1" applyAlignment="1">
      <alignment vertical="center"/>
    </xf>
    <xf numFmtId="177" fontId="32" fillId="0" borderId="46" xfId="0" applyNumberFormat="1" applyFont="1" applyBorder="1" applyAlignment="1">
      <alignment vertical="center"/>
    </xf>
    <xf numFmtId="185" fontId="32" fillId="0" borderId="59" xfId="0" applyNumberFormat="1" applyFont="1" applyBorder="1" applyAlignment="1">
      <alignment vertical="center"/>
    </xf>
    <xf numFmtId="177" fontId="33" fillId="0" borderId="60" xfId="0" applyNumberFormat="1" applyFont="1" applyBorder="1" applyAlignment="1">
      <alignment vertical="center"/>
    </xf>
    <xf numFmtId="177" fontId="33" fillId="0" borderId="61" xfId="0" applyNumberFormat="1" applyFont="1" applyBorder="1" applyAlignment="1">
      <alignment vertical="center"/>
    </xf>
    <xf numFmtId="185" fontId="33" fillId="0" borderId="49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85" fontId="11" fillId="0" borderId="22" xfId="0" applyNumberFormat="1" applyFont="1" applyBorder="1" applyAlignment="1">
      <alignment vertical="center"/>
    </xf>
    <xf numFmtId="177" fontId="11" fillId="0" borderId="62" xfId="0" applyNumberFormat="1" applyFont="1" applyBorder="1" applyAlignment="1">
      <alignment vertical="center"/>
    </xf>
    <xf numFmtId="185" fontId="11" fillId="0" borderId="28" xfId="0" applyNumberFormat="1" applyFont="1" applyBorder="1" applyAlignment="1">
      <alignment vertical="center"/>
    </xf>
    <xf numFmtId="177" fontId="11" fillId="0" borderId="63" xfId="0" applyNumberFormat="1" applyFont="1" applyBorder="1" applyAlignment="1">
      <alignment vertical="center"/>
    </xf>
    <xf numFmtId="176" fontId="11" fillId="0" borderId="28" xfId="0" applyNumberFormat="1" applyFont="1" applyBorder="1" applyAlignment="1">
      <alignment vertical="center"/>
    </xf>
    <xf numFmtId="185" fontId="11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85" fontId="32" fillId="0" borderId="40" xfId="0" applyNumberFormat="1" applyFont="1" applyBorder="1" applyAlignment="1">
      <alignment vertical="center"/>
    </xf>
    <xf numFmtId="176" fontId="31" fillId="0" borderId="64" xfId="0" applyNumberFormat="1" applyFont="1" applyBorder="1" applyAlignment="1">
      <alignment vertical="center"/>
    </xf>
    <xf numFmtId="177" fontId="32" fillId="0" borderId="65" xfId="0" applyNumberFormat="1" applyFont="1" applyBorder="1" applyAlignment="1">
      <alignment vertical="center"/>
    </xf>
    <xf numFmtId="185" fontId="32" fillId="0" borderId="66" xfId="0" applyNumberFormat="1" applyFont="1" applyBorder="1" applyAlignment="1">
      <alignment vertical="center"/>
    </xf>
    <xf numFmtId="177" fontId="32" fillId="0" borderId="67" xfId="0" applyNumberFormat="1" applyFont="1" applyBorder="1" applyAlignment="1">
      <alignment vertical="center"/>
    </xf>
    <xf numFmtId="185" fontId="32" fillId="0" borderId="68" xfId="0" applyNumberFormat="1" applyFont="1" applyBorder="1" applyAlignment="1">
      <alignment vertical="center"/>
    </xf>
    <xf numFmtId="185" fontId="32" fillId="0" borderId="69" xfId="0" applyNumberFormat="1" applyFont="1" applyBorder="1" applyAlignment="1">
      <alignment vertical="center"/>
    </xf>
    <xf numFmtId="185" fontId="32" fillId="0" borderId="15" xfId="0" applyNumberFormat="1" applyFont="1" applyBorder="1" applyAlignment="1">
      <alignment vertical="center"/>
    </xf>
    <xf numFmtId="177" fontId="32" fillId="0" borderId="70" xfId="0" applyNumberFormat="1" applyFont="1" applyBorder="1" applyAlignment="1">
      <alignment vertical="center"/>
    </xf>
    <xf numFmtId="177" fontId="11" fillId="0" borderId="42" xfId="0" applyNumberFormat="1" applyFont="1" applyBorder="1" applyAlignment="1">
      <alignment vertical="center"/>
    </xf>
    <xf numFmtId="177" fontId="11" fillId="0" borderId="71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177" fontId="11" fillId="0" borderId="72" xfId="0" applyNumberFormat="1" applyFont="1" applyBorder="1" applyAlignment="1">
      <alignment vertical="center"/>
    </xf>
    <xf numFmtId="177" fontId="11" fillId="0" borderId="50" xfId="0" applyNumberFormat="1" applyFont="1" applyBorder="1" applyAlignment="1">
      <alignment vertical="center"/>
    </xf>
    <xf numFmtId="177" fontId="11" fillId="0" borderId="73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73" xfId="0" applyNumberFormat="1" applyFont="1" applyBorder="1" applyAlignment="1">
      <alignment vertical="center"/>
    </xf>
    <xf numFmtId="177" fontId="11" fillId="0" borderId="74" xfId="0" applyNumberFormat="1" applyFont="1" applyBorder="1" applyAlignment="1">
      <alignment vertical="center"/>
    </xf>
    <xf numFmtId="185" fontId="11" fillId="0" borderId="75" xfId="0" applyNumberFormat="1" applyFont="1" applyBorder="1" applyAlignment="1">
      <alignment vertical="center"/>
    </xf>
    <xf numFmtId="177" fontId="7" fillId="0" borderId="76" xfId="0" applyNumberFormat="1" applyFont="1" applyBorder="1" applyAlignment="1">
      <alignment vertical="center"/>
    </xf>
    <xf numFmtId="185" fontId="11" fillId="0" borderId="52" xfId="0" applyNumberFormat="1" applyFont="1" applyBorder="1" applyAlignment="1">
      <alignment vertical="center"/>
    </xf>
    <xf numFmtId="177" fontId="11" fillId="0" borderId="77" xfId="0" applyNumberFormat="1" applyFont="1" applyBorder="1" applyAlignment="1">
      <alignment vertical="center"/>
    </xf>
    <xf numFmtId="185" fontId="11" fillId="0" borderId="14" xfId="0" applyNumberFormat="1" applyFont="1" applyBorder="1" applyAlignment="1">
      <alignment vertical="center"/>
    </xf>
    <xf numFmtId="177" fontId="11" fillId="0" borderId="78" xfId="0" applyNumberFormat="1" applyFont="1" applyBorder="1" applyAlignment="1">
      <alignment vertical="center"/>
    </xf>
    <xf numFmtId="177" fontId="11" fillId="0" borderId="71" xfId="0" applyNumberFormat="1" applyFont="1" applyBorder="1" applyAlignment="1">
      <alignment vertical="center"/>
    </xf>
    <xf numFmtId="185" fontId="11" fillId="0" borderId="79" xfId="0" applyNumberFormat="1" applyFont="1" applyBorder="1" applyAlignment="1">
      <alignment vertical="center"/>
    </xf>
    <xf numFmtId="177" fontId="7" fillId="0" borderId="63" xfId="0" applyNumberFormat="1" applyFont="1" applyBorder="1" applyAlignment="1">
      <alignment vertical="center"/>
    </xf>
    <xf numFmtId="177" fontId="7" fillId="0" borderId="78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7" fillId="0" borderId="80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7" fontId="7" fillId="0" borderId="54" xfId="0" applyNumberFormat="1" applyFont="1" applyBorder="1" applyAlignment="1">
      <alignment vertical="center"/>
    </xf>
    <xf numFmtId="177" fontId="11" fillId="0" borderId="81" xfId="0" applyNumberFormat="1" applyFont="1" applyBorder="1" applyAlignment="1">
      <alignment vertical="center"/>
    </xf>
    <xf numFmtId="177" fontId="11" fillId="0" borderId="78" xfId="0" applyNumberFormat="1" applyFont="1" applyBorder="1" applyAlignment="1">
      <alignment vertical="center"/>
    </xf>
    <xf numFmtId="185" fontId="11" fillId="0" borderId="82" xfId="0" applyNumberFormat="1" applyFont="1" applyBorder="1" applyAlignment="1">
      <alignment vertical="center"/>
    </xf>
    <xf numFmtId="185" fontId="11" fillId="0" borderId="79" xfId="0" applyNumberFormat="1" applyFont="1" applyBorder="1" applyAlignment="1">
      <alignment vertical="center"/>
    </xf>
    <xf numFmtId="177" fontId="11" fillId="0" borderId="83" xfId="0" applyNumberFormat="1" applyFont="1" applyBorder="1" applyAlignment="1">
      <alignment vertical="center"/>
    </xf>
    <xf numFmtId="177" fontId="11" fillId="0" borderId="63" xfId="0" applyNumberFormat="1" applyFont="1" applyFill="1" applyBorder="1" applyAlignment="1">
      <alignment vertical="center"/>
    </xf>
    <xf numFmtId="177" fontId="11" fillId="0" borderId="78" xfId="0" applyNumberFormat="1" applyFont="1" applyFill="1" applyBorder="1" applyAlignment="1">
      <alignment vertical="center"/>
    </xf>
    <xf numFmtId="177" fontId="11" fillId="0" borderId="8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7" fontId="11" fillId="0" borderId="84" xfId="0" applyNumberFormat="1" applyFont="1" applyFill="1" applyBorder="1" applyAlignment="1">
      <alignment vertical="center"/>
    </xf>
    <xf numFmtId="177" fontId="11" fillId="0" borderId="48" xfId="0" applyNumberFormat="1" applyFont="1" applyFill="1" applyBorder="1" applyAlignment="1">
      <alignment vertical="center"/>
    </xf>
    <xf numFmtId="177" fontId="11" fillId="0" borderId="85" xfId="0" applyNumberFormat="1" applyFont="1" applyBorder="1" applyAlignment="1">
      <alignment vertical="center"/>
    </xf>
    <xf numFmtId="185" fontId="11" fillId="0" borderId="86" xfId="0" applyNumberFormat="1" applyFont="1" applyBorder="1" applyAlignment="1">
      <alignment vertical="center"/>
    </xf>
    <xf numFmtId="177" fontId="7" fillId="0" borderId="84" xfId="0" applyNumberFormat="1" applyFont="1" applyBorder="1" applyAlignment="1">
      <alignment vertical="center"/>
    </xf>
    <xf numFmtId="177" fontId="7" fillId="0" borderId="87" xfId="0" applyNumberFormat="1" applyFont="1" applyBorder="1" applyAlignment="1">
      <alignment vertical="center"/>
    </xf>
    <xf numFmtId="177" fontId="11" fillId="0" borderId="84" xfId="0" applyNumberFormat="1" applyFont="1" applyBorder="1" applyAlignment="1">
      <alignment vertical="center"/>
    </xf>
    <xf numFmtId="185" fontId="11" fillId="0" borderId="69" xfId="0" applyNumberFormat="1" applyFont="1" applyBorder="1" applyAlignment="1">
      <alignment vertical="center"/>
    </xf>
    <xf numFmtId="177" fontId="11" fillId="0" borderId="88" xfId="0" applyNumberFormat="1" applyFont="1" applyBorder="1" applyAlignment="1">
      <alignment vertical="center"/>
    </xf>
    <xf numFmtId="177" fontId="11" fillId="0" borderId="89" xfId="0" applyNumberFormat="1" applyFont="1" applyBorder="1" applyAlignment="1">
      <alignment vertical="center"/>
    </xf>
    <xf numFmtId="177" fontId="7" fillId="0" borderId="90" xfId="0" applyNumberFormat="1" applyFont="1" applyBorder="1" applyAlignment="1">
      <alignment vertical="center"/>
    </xf>
    <xf numFmtId="177" fontId="7" fillId="0" borderId="91" xfId="0" applyNumberFormat="1" applyFont="1" applyBorder="1" applyAlignment="1">
      <alignment vertical="center"/>
    </xf>
    <xf numFmtId="177" fontId="7" fillId="0" borderId="89" xfId="0" applyNumberFormat="1" applyFont="1" applyBorder="1" applyAlignment="1">
      <alignment vertical="center"/>
    </xf>
    <xf numFmtId="185" fontId="11" fillId="0" borderId="43" xfId="0" applyNumberFormat="1" applyFont="1" applyBorder="1" applyAlignment="1">
      <alignment vertical="center"/>
    </xf>
    <xf numFmtId="177" fontId="11" fillId="0" borderId="92" xfId="0" applyNumberFormat="1" applyFont="1" applyBorder="1" applyAlignment="1">
      <alignment vertical="center"/>
    </xf>
    <xf numFmtId="185" fontId="11" fillId="0" borderId="93" xfId="0" applyNumberFormat="1" applyFont="1" applyBorder="1" applyAlignment="1">
      <alignment vertical="center"/>
    </xf>
    <xf numFmtId="185" fontId="11" fillId="0" borderId="86" xfId="0" applyNumberFormat="1" applyFont="1" applyBorder="1" applyAlignment="1">
      <alignment vertical="center"/>
    </xf>
    <xf numFmtId="176" fontId="11" fillId="0" borderId="94" xfId="0" applyNumberFormat="1" applyFont="1" applyBorder="1" applyAlignment="1">
      <alignment vertical="center"/>
    </xf>
    <xf numFmtId="177" fontId="11" fillId="0" borderId="46" xfId="0" applyNumberFormat="1" applyFont="1" applyFill="1" applyBorder="1" applyAlignment="1">
      <alignment vertical="center"/>
    </xf>
    <xf numFmtId="177" fontId="7" fillId="0" borderId="95" xfId="0" applyNumberFormat="1" applyFont="1" applyBorder="1" applyAlignment="1">
      <alignment vertical="center"/>
    </xf>
    <xf numFmtId="177" fontId="7" fillId="0" borderId="96" xfId="0" applyNumberFormat="1" applyFont="1" applyBorder="1" applyAlignment="1">
      <alignment vertical="center"/>
    </xf>
    <xf numFmtId="177" fontId="7" fillId="0" borderId="46" xfId="0" applyNumberFormat="1" applyFont="1" applyBorder="1" applyAlignment="1">
      <alignment vertical="center"/>
    </xf>
    <xf numFmtId="185" fontId="6" fillId="0" borderId="97" xfId="0" applyNumberFormat="1" applyFont="1" applyBorder="1" applyAlignment="1">
      <alignment vertical="center"/>
    </xf>
    <xf numFmtId="185" fontId="11" fillId="0" borderId="98" xfId="0" applyNumberFormat="1" applyFont="1" applyBorder="1" applyAlignment="1">
      <alignment vertical="center"/>
    </xf>
    <xf numFmtId="0" fontId="0" fillId="0" borderId="97" xfId="0" applyBorder="1" applyAlignment="1">
      <alignment vertical="center"/>
    </xf>
    <xf numFmtId="177" fontId="11" fillId="0" borderId="96" xfId="0" applyNumberFormat="1" applyFont="1" applyBorder="1" applyAlignment="1">
      <alignment vertical="center"/>
    </xf>
    <xf numFmtId="0" fontId="7" fillId="0" borderId="99" xfId="0" applyFont="1" applyBorder="1" applyAlignment="1">
      <alignment vertical="center"/>
    </xf>
    <xf numFmtId="177" fontId="11" fillId="0" borderId="100" xfId="0" applyNumberFormat="1" applyFont="1" applyFill="1" applyBorder="1" applyAlignment="1">
      <alignment vertical="center"/>
    </xf>
    <xf numFmtId="177" fontId="11" fillId="0" borderId="101" xfId="0" applyNumberFormat="1" applyFont="1" applyFill="1" applyBorder="1" applyAlignment="1">
      <alignment vertical="center"/>
    </xf>
    <xf numFmtId="177" fontId="11" fillId="0" borderId="102" xfId="0" applyNumberFormat="1" applyFont="1" applyBorder="1" applyAlignment="1">
      <alignment vertical="center"/>
    </xf>
    <xf numFmtId="185" fontId="11" fillId="0" borderId="38" xfId="0" applyNumberFormat="1" applyFont="1" applyBorder="1" applyAlignment="1">
      <alignment vertical="center"/>
    </xf>
    <xf numFmtId="177" fontId="11" fillId="0" borderId="103" xfId="0" applyNumberFormat="1" applyFont="1" applyFill="1" applyBorder="1" applyAlignment="1">
      <alignment vertical="center"/>
    </xf>
    <xf numFmtId="177" fontId="11" fillId="0" borderId="104" xfId="0" applyNumberFormat="1" applyFont="1" applyFill="1" applyBorder="1" applyAlignment="1">
      <alignment vertical="center"/>
    </xf>
    <xf numFmtId="177" fontId="7" fillId="0" borderId="103" xfId="0" applyNumberFormat="1" applyFont="1" applyBorder="1" applyAlignment="1">
      <alignment vertical="center"/>
    </xf>
    <xf numFmtId="177" fontId="7" fillId="0" borderId="105" xfId="0" applyNumberFormat="1" applyFont="1" applyBorder="1" applyAlignment="1">
      <alignment vertical="center"/>
    </xf>
    <xf numFmtId="177" fontId="11" fillId="0" borderId="103" xfId="0" applyNumberFormat="1" applyFont="1" applyBorder="1" applyAlignment="1">
      <alignment vertical="center"/>
    </xf>
    <xf numFmtId="177" fontId="11" fillId="0" borderId="104" xfId="0" applyNumberFormat="1" applyFont="1" applyBorder="1" applyAlignment="1">
      <alignment vertical="center"/>
    </xf>
    <xf numFmtId="185" fontId="11" fillId="0" borderId="106" xfId="0" applyNumberFormat="1" applyFont="1" applyBorder="1" applyAlignment="1">
      <alignment vertical="center"/>
    </xf>
    <xf numFmtId="177" fontId="7" fillId="0" borderId="107" xfId="0" applyNumberFormat="1" applyFont="1" applyBorder="1" applyAlignment="1">
      <alignment vertical="center"/>
    </xf>
    <xf numFmtId="177" fontId="7" fillId="0" borderId="104" xfId="0" applyNumberFormat="1" applyFont="1" applyBorder="1" applyAlignment="1">
      <alignment vertical="center"/>
    </xf>
    <xf numFmtId="177" fontId="11" fillId="0" borderId="102" xfId="0" applyNumberFormat="1" applyFont="1" applyBorder="1" applyAlignment="1">
      <alignment vertical="center"/>
    </xf>
    <xf numFmtId="185" fontId="11" fillId="0" borderId="38" xfId="0" applyNumberFormat="1" applyFont="1" applyBorder="1" applyAlignment="1">
      <alignment vertical="center"/>
    </xf>
    <xf numFmtId="177" fontId="11" fillId="0" borderId="108" xfId="0" applyNumberFormat="1" applyFont="1" applyBorder="1" applyAlignment="1">
      <alignment vertical="center"/>
    </xf>
    <xf numFmtId="177" fontId="11" fillId="0" borderId="109" xfId="0" applyNumberFormat="1" applyFont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61" xfId="0" applyNumberFormat="1" applyFont="1" applyFill="1" applyBorder="1" applyAlignment="1">
      <alignment vertical="center"/>
    </xf>
    <xf numFmtId="185" fontId="4" fillId="0" borderId="40" xfId="0" applyNumberFormat="1" applyFont="1" applyBorder="1" applyAlignment="1">
      <alignment vertical="center"/>
    </xf>
    <xf numFmtId="177" fontId="4" fillId="0" borderId="110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85" fontId="4" fillId="0" borderId="111" xfId="0" applyNumberFormat="1" applyFont="1" applyBorder="1" applyAlignment="1">
      <alignment vertical="center"/>
    </xf>
    <xf numFmtId="177" fontId="11" fillId="0" borderId="62" xfId="0" applyNumberFormat="1" applyFont="1" applyFill="1" applyBorder="1" applyAlignment="1">
      <alignment vertical="center"/>
    </xf>
    <xf numFmtId="177" fontId="11" fillId="0" borderId="47" xfId="0" applyNumberFormat="1" applyFont="1" applyFill="1" applyBorder="1" applyAlignment="1">
      <alignment vertical="center"/>
    </xf>
    <xf numFmtId="177" fontId="7" fillId="0" borderId="50" xfId="0" applyNumberFormat="1" applyFont="1" applyBorder="1" applyAlignment="1">
      <alignment vertical="center"/>
    </xf>
    <xf numFmtId="177" fontId="7" fillId="0" borderId="72" xfId="0" applyNumberFormat="1" applyFont="1" applyBorder="1" applyAlignment="1">
      <alignment vertical="center"/>
    </xf>
    <xf numFmtId="177" fontId="11" fillId="0" borderId="76" xfId="0" applyNumberFormat="1" applyFont="1" applyBorder="1" applyAlignment="1">
      <alignment vertical="center"/>
    </xf>
    <xf numFmtId="177" fontId="11" fillId="0" borderId="112" xfId="0" applyNumberFormat="1" applyFont="1" applyBorder="1" applyAlignment="1">
      <alignment vertical="center"/>
    </xf>
    <xf numFmtId="177" fontId="11" fillId="0" borderId="113" xfId="0" applyNumberFormat="1" applyFont="1" applyBorder="1" applyAlignment="1">
      <alignment vertical="center"/>
    </xf>
    <xf numFmtId="177" fontId="7" fillId="0" borderId="83" xfId="0" applyNumberFormat="1" applyFont="1" applyBorder="1" applyAlignment="1">
      <alignment vertical="center"/>
    </xf>
    <xf numFmtId="177" fontId="11" fillId="0" borderId="80" xfId="0" applyNumberFormat="1" applyFont="1" applyBorder="1" applyAlignment="1">
      <alignment vertical="center"/>
    </xf>
    <xf numFmtId="177" fontId="11" fillId="0" borderId="114" xfId="0" applyNumberFormat="1" applyFont="1" applyBorder="1" applyAlignment="1">
      <alignment vertical="center"/>
    </xf>
    <xf numFmtId="177" fontId="11" fillId="0" borderId="115" xfId="0" applyNumberFormat="1" applyFont="1" applyBorder="1" applyAlignment="1">
      <alignment vertical="center"/>
    </xf>
    <xf numFmtId="177" fontId="11" fillId="0" borderId="95" xfId="0" applyNumberFormat="1" applyFont="1" applyBorder="1" applyAlignment="1">
      <alignment vertical="center"/>
    </xf>
    <xf numFmtId="177" fontId="11" fillId="0" borderId="116" xfId="0" applyNumberFormat="1" applyFont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110" xfId="0" applyNumberFormat="1" applyFont="1" applyFill="1" applyBorder="1" applyAlignment="1">
      <alignment vertical="center"/>
    </xf>
    <xf numFmtId="177" fontId="4" fillId="0" borderId="61" xfId="0" applyNumberFormat="1" applyFont="1" applyFill="1" applyBorder="1" applyAlignment="1">
      <alignment vertical="center"/>
    </xf>
    <xf numFmtId="177" fontId="4" fillId="0" borderId="117" xfId="0" applyNumberFormat="1" applyFont="1" applyFill="1" applyBorder="1" applyAlignment="1">
      <alignment vertical="center"/>
    </xf>
    <xf numFmtId="177" fontId="32" fillId="0" borderId="118" xfId="0" applyNumberFormat="1" applyFont="1" applyBorder="1" applyAlignment="1">
      <alignment vertical="center"/>
    </xf>
    <xf numFmtId="177" fontId="32" fillId="0" borderId="119" xfId="0" applyNumberFormat="1" applyFont="1" applyBorder="1" applyAlignment="1">
      <alignment vertical="center"/>
    </xf>
    <xf numFmtId="177" fontId="32" fillId="0" borderId="120" xfId="0" applyNumberFormat="1" applyFont="1" applyBorder="1" applyAlignment="1">
      <alignment vertical="center"/>
    </xf>
    <xf numFmtId="177" fontId="32" fillId="0" borderId="121" xfId="0" applyNumberFormat="1" applyFont="1" applyBorder="1" applyAlignment="1">
      <alignment vertical="center"/>
    </xf>
    <xf numFmtId="177" fontId="32" fillId="0" borderId="122" xfId="0" applyNumberFormat="1" applyFont="1" applyBorder="1" applyAlignment="1">
      <alignment vertical="center"/>
    </xf>
    <xf numFmtId="177" fontId="32" fillId="0" borderId="80" xfId="0" applyNumberFormat="1" applyFont="1" applyBorder="1" applyAlignment="1">
      <alignment vertical="center"/>
    </xf>
    <xf numFmtId="177" fontId="32" fillId="0" borderId="123" xfId="0" applyNumberFormat="1" applyFont="1" applyBorder="1" applyAlignment="1">
      <alignment vertical="center"/>
    </xf>
    <xf numFmtId="177" fontId="32" fillId="0" borderId="83" xfId="0" applyNumberFormat="1" applyFont="1" applyBorder="1" applyAlignment="1">
      <alignment vertical="center"/>
    </xf>
    <xf numFmtId="176" fontId="31" fillId="0" borderId="100" xfId="0" applyNumberFormat="1" applyFont="1" applyBorder="1" applyAlignment="1">
      <alignment vertical="center"/>
    </xf>
    <xf numFmtId="177" fontId="32" fillId="0" borderId="124" xfId="0" applyNumberFormat="1" applyFont="1" applyBorder="1" applyAlignment="1">
      <alignment vertical="center"/>
    </xf>
    <xf numFmtId="177" fontId="32" fillId="0" borderId="125" xfId="0" applyNumberFormat="1" applyFont="1" applyBorder="1" applyAlignment="1">
      <alignment vertical="center"/>
    </xf>
    <xf numFmtId="177" fontId="32" fillId="0" borderId="126" xfId="0" applyNumberFormat="1" applyFont="1" applyBorder="1" applyAlignment="1">
      <alignment vertical="center"/>
    </xf>
    <xf numFmtId="185" fontId="32" fillId="0" borderId="127" xfId="0" applyNumberFormat="1" applyFont="1" applyBorder="1" applyAlignment="1">
      <alignment vertical="center"/>
    </xf>
    <xf numFmtId="177" fontId="33" fillId="0" borderId="60" xfId="0" applyNumberFormat="1" applyFont="1" applyBorder="1" applyAlignment="1">
      <alignment vertical="center"/>
    </xf>
    <xf numFmtId="177" fontId="33" fillId="0" borderId="128" xfId="0" applyNumberFormat="1" applyFont="1" applyBorder="1" applyAlignment="1">
      <alignment vertical="center"/>
    </xf>
    <xf numFmtId="185" fontId="33" fillId="0" borderId="38" xfId="0" applyNumberFormat="1" applyFont="1" applyBorder="1" applyAlignment="1">
      <alignment vertical="center"/>
    </xf>
    <xf numFmtId="177" fontId="32" fillId="0" borderId="129" xfId="0" applyNumberFormat="1" applyFont="1" applyBorder="1" applyAlignment="1">
      <alignment vertical="center"/>
    </xf>
    <xf numFmtId="177" fontId="32" fillId="0" borderId="130" xfId="0" applyNumberFormat="1" applyFont="1" applyBorder="1" applyAlignment="1">
      <alignment vertical="center"/>
    </xf>
    <xf numFmtId="177" fontId="32" fillId="0" borderId="90" xfId="0" applyNumberFormat="1" applyFont="1" applyBorder="1" applyAlignment="1">
      <alignment vertical="center"/>
    </xf>
    <xf numFmtId="177" fontId="33" fillId="0" borderId="117" xfId="0" applyNumberFormat="1" applyFont="1" applyBorder="1" applyAlignment="1">
      <alignment vertical="center"/>
    </xf>
    <xf numFmtId="177" fontId="32" fillId="0" borderId="131" xfId="0" applyNumberFormat="1" applyFont="1" applyBorder="1" applyAlignment="1">
      <alignment vertical="center"/>
    </xf>
    <xf numFmtId="177" fontId="32" fillId="0" borderId="132" xfId="0" applyNumberFormat="1" applyFont="1" applyBorder="1" applyAlignment="1">
      <alignment vertical="center"/>
    </xf>
    <xf numFmtId="177" fontId="32" fillId="0" borderId="133" xfId="0" applyNumberFormat="1" applyFont="1" applyBorder="1" applyAlignment="1">
      <alignment vertical="center"/>
    </xf>
    <xf numFmtId="177" fontId="32" fillId="0" borderId="63" xfId="0" applyNumberFormat="1" applyFont="1" applyBorder="1" applyAlignment="1">
      <alignment vertical="center"/>
    </xf>
    <xf numFmtId="177" fontId="32" fillId="0" borderId="134" xfId="0" applyNumberFormat="1" applyFont="1" applyBorder="1" applyAlignment="1">
      <alignment vertical="center"/>
    </xf>
    <xf numFmtId="177" fontId="32" fillId="0" borderId="101" xfId="0" applyNumberFormat="1" applyFont="1" applyBorder="1" applyAlignment="1">
      <alignment vertical="center"/>
    </xf>
    <xf numFmtId="185" fontId="32" fillId="0" borderId="135" xfId="0" applyNumberFormat="1" applyFont="1" applyBorder="1" applyAlignment="1">
      <alignment vertical="center"/>
    </xf>
    <xf numFmtId="185" fontId="33" fillId="0" borderId="127" xfId="0" applyNumberFormat="1" applyFont="1" applyBorder="1" applyAlignment="1">
      <alignment vertical="center"/>
    </xf>
    <xf numFmtId="177" fontId="32" fillId="0" borderId="136" xfId="0" applyNumberFormat="1" applyFont="1" applyBorder="1" applyAlignment="1">
      <alignment vertical="center"/>
    </xf>
    <xf numFmtId="177" fontId="11" fillId="0" borderId="72" xfId="0" applyNumberFormat="1" applyFont="1" applyBorder="1" applyAlignment="1">
      <alignment vertical="center"/>
    </xf>
    <xf numFmtId="176" fontId="20" fillId="33" borderId="12" xfId="0" applyNumberFormat="1" applyFont="1" applyFill="1" applyBorder="1" applyAlignment="1">
      <alignment horizontal="right" vertical="center" wrapText="1"/>
    </xf>
    <xf numFmtId="177" fontId="33" fillId="0" borderId="13" xfId="0" applyNumberFormat="1" applyFont="1" applyBorder="1" applyAlignment="1">
      <alignment vertical="center"/>
    </xf>
    <xf numFmtId="177" fontId="11" fillId="0" borderId="100" xfId="0" applyNumberFormat="1" applyFont="1" applyBorder="1" applyAlignment="1">
      <alignment vertical="center"/>
    </xf>
    <xf numFmtId="177" fontId="11" fillId="0" borderId="101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4" fontId="41" fillId="0" borderId="100" xfId="0" applyNumberFormat="1" applyFont="1" applyBorder="1" applyAlignment="1">
      <alignment vertical="center"/>
    </xf>
    <xf numFmtId="4" fontId="41" fillId="0" borderId="0" xfId="0" applyNumberFormat="1" applyFont="1" applyBorder="1" applyAlignment="1">
      <alignment vertical="center"/>
    </xf>
    <xf numFmtId="4" fontId="41" fillId="0" borderId="137" xfId="0" applyNumberFormat="1" applyFont="1" applyBorder="1" applyAlignment="1">
      <alignment vertical="center"/>
    </xf>
    <xf numFmtId="4" fontId="41" fillId="0" borderId="138" xfId="0" applyNumberFormat="1" applyFont="1" applyBorder="1" applyAlignment="1">
      <alignment vertical="center"/>
    </xf>
    <xf numFmtId="4" fontId="41" fillId="0" borderId="139" xfId="0" applyNumberFormat="1" applyFont="1" applyBorder="1" applyAlignment="1">
      <alignment vertical="center"/>
    </xf>
    <xf numFmtId="4" fontId="41" fillId="0" borderId="140" xfId="0" applyNumberFormat="1" applyFont="1" applyBorder="1" applyAlignment="1">
      <alignment vertical="center"/>
    </xf>
    <xf numFmtId="4" fontId="41" fillId="0" borderId="141" xfId="0" applyNumberFormat="1" applyFont="1" applyBorder="1" applyAlignment="1">
      <alignment vertical="center"/>
    </xf>
    <xf numFmtId="4" fontId="41" fillId="0" borderId="142" xfId="0" applyNumberFormat="1" applyFont="1" applyBorder="1" applyAlignment="1">
      <alignment vertical="center"/>
    </xf>
    <xf numFmtId="4" fontId="41" fillId="0" borderId="143" xfId="0" applyNumberFormat="1" applyFont="1" applyBorder="1" applyAlignment="1">
      <alignment vertical="center"/>
    </xf>
    <xf numFmtId="4" fontId="41" fillId="0" borderId="144" xfId="0" applyNumberFormat="1" applyFont="1" applyBorder="1" applyAlignment="1">
      <alignment vertical="center"/>
    </xf>
    <xf numFmtId="4" fontId="41" fillId="0" borderId="145" xfId="0" applyNumberFormat="1" applyFont="1" applyBorder="1" applyAlignment="1">
      <alignment vertical="center"/>
    </xf>
    <xf numFmtId="4" fontId="41" fillId="0" borderId="146" xfId="0" applyNumberFormat="1" applyFont="1" applyBorder="1" applyAlignment="1">
      <alignment vertical="center"/>
    </xf>
    <xf numFmtId="4" fontId="41" fillId="0" borderId="147" xfId="0" applyNumberFormat="1" applyFont="1" applyBorder="1" applyAlignment="1">
      <alignment vertical="center"/>
    </xf>
    <xf numFmtId="4" fontId="41" fillId="0" borderId="148" xfId="0" applyNumberFormat="1" applyFont="1" applyBorder="1" applyAlignment="1">
      <alignment vertical="center"/>
    </xf>
    <xf numFmtId="4" fontId="42" fillId="0" borderId="149" xfId="0" applyNumberFormat="1" applyFont="1" applyBorder="1" applyAlignment="1">
      <alignment vertical="center"/>
    </xf>
    <xf numFmtId="4" fontId="42" fillId="0" borderId="150" xfId="0" applyNumberFormat="1" applyFont="1" applyBorder="1" applyAlignment="1">
      <alignment vertical="center"/>
    </xf>
    <xf numFmtId="4" fontId="42" fillId="0" borderId="151" xfId="0" applyNumberFormat="1" applyFont="1" applyBorder="1" applyAlignment="1">
      <alignment vertical="center"/>
    </xf>
    <xf numFmtId="4" fontId="42" fillId="0" borderId="15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Border="1" applyAlignment="1">
      <alignment horizontal="left" vertical="center"/>
    </xf>
    <xf numFmtId="4" fontId="41" fillId="0" borderId="140" xfId="0" applyNumberFormat="1" applyFont="1" applyBorder="1" applyAlignment="1">
      <alignment horizontal="right" vertical="center"/>
    </xf>
    <xf numFmtId="4" fontId="41" fillId="0" borderId="141" xfId="0" applyNumberFormat="1" applyFont="1" applyBorder="1" applyAlignment="1">
      <alignment horizontal="right" vertical="center"/>
    </xf>
    <xf numFmtId="4" fontId="41" fillId="0" borderId="142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0" fontId="38" fillId="0" borderId="0" xfId="0" applyFont="1" applyAlignment="1">
      <alignment wrapText="1"/>
    </xf>
    <xf numFmtId="0" fontId="8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23" fillId="34" borderId="153" xfId="0" applyFont="1" applyFill="1" applyBorder="1" applyAlignment="1">
      <alignment horizontal="left" vertical="center" wrapText="1"/>
    </xf>
    <xf numFmtId="0" fontId="17" fillId="34" borderId="154" xfId="0" applyFont="1" applyFill="1" applyBorder="1" applyAlignment="1">
      <alignment vertical="center" wrapText="1"/>
    </xf>
    <xf numFmtId="0" fontId="18" fillId="34" borderId="155" xfId="0" applyFont="1" applyFill="1" applyBorder="1" applyAlignment="1">
      <alignment horizontal="left" vertical="center" wrapText="1"/>
    </xf>
    <xf numFmtId="4" fontId="18" fillId="34" borderId="156" xfId="0" applyNumberFormat="1" applyFont="1" applyFill="1" applyBorder="1" applyAlignment="1">
      <alignment vertical="center" wrapText="1"/>
    </xf>
    <xf numFmtId="4" fontId="18" fillId="0" borderId="157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55" xfId="0" applyFont="1" applyFill="1" applyBorder="1" applyAlignment="1">
      <alignment vertical="center" wrapText="1"/>
    </xf>
    <xf numFmtId="4" fontId="18" fillId="0" borderId="64" xfId="0" applyNumberFormat="1" applyFont="1" applyFill="1" applyBorder="1" applyAlignment="1">
      <alignment horizontal="right" vertical="center" wrapText="1"/>
    </xf>
    <xf numFmtId="0" fontId="18" fillId="0" borderId="158" xfId="0" applyFont="1" applyFill="1" applyBorder="1" applyAlignment="1">
      <alignment vertical="center" wrapText="1"/>
    </xf>
    <xf numFmtId="4" fontId="18" fillId="0" borderId="159" xfId="0" applyNumberFormat="1" applyFont="1" applyFill="1" applyBorder="1" applyAlignment="1">
      <alignment horizontal="right" vertical="center" wrapText="1"/>
    </xf>
    <xf numFmtId="0" fontId="23" fillId="0" borderId="16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" fontId="18" fillId="34" borderId="156" xfId="0" applyNumberFormat="1" applyFont="1" applyFill="1" applyBorder="1" applyAlignment="1">
      <alignment vertical="center"/>
    </xf>
    <xf numFmtId="4" fontId="18" fillId="34" borderId="157" xfId="0" applyNumberFormat="1" applyFont="1" applyFill="1" applyBorder="1" applyAlignment="1">
      <alignment vertical="center"/>
    </xf>
    <xf numFmtId="0" fontId="18" fillId="34" borderId="155" xfId="0" applyFont="1" applyFill="1" applyBorder="1" applyAlignment="1">
      <alignment vertical="center" wrapText="1"/>
    </xf>
    <xf numFmtId="0" fontId="18" fillId="0" borderId="161" xfId="0" applyFont="1" applyFill="1" applyBorder="1" applyAlignment="1">
      <alignment vertical="center" wrapText="1"/>
    </xf>
    <xf numFmtId="4" fontId="18" fillId="0" borderId="157" xfId="0" applyNumberFormat="1" applyFont="1" applyFill="1" applyBorder="1" applyAlignment="1">
      <alignment vertical="center"/>
    </xf>
    <xf numFmtId="0" fontId="18" fillId="0" borderId="100" xfId="0" applyFont="1" applyFill="1" applyBorder="1" applyAlignment="1">
      <alignment vertical="center"/>
    </xf>
    <xf numFmtId="4" fontId="18" fillId="0" borderId="156" xfId="0" applyNumberFormat="1" applyFont="1" applyFill="1" applyBorder="1" applyAlignment="1">
      <alignment horizontal="right" vertical="center" wrapText="1"/>
    </xf>
    <xf numFmtId="0" fontId="18" fillId="0" borderId="155" xfId="0" applyFont="1" applyFill="1" applyBorder="1" applyAlignment="1">
      <alignment vertical="center"/>
    </xf>
    <xf numFmtId="0" fontId="23" fillId="0" borderId="162" xfId="0" applyFont="1" applyFill="1" applyBorder="1" applyAlignment="1">
      <alignment vertical="center" wrapText="1"/>
    </xf>
    <xf numFmtId="4" fontId="23" fillId="0" borderId="163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155" xfId="0" applyFont="1" applyFill="1" applyBorder="1" applyAlignment="1">
      <alignment horizontal="left" vertical="center"/>
    </xf>
    <xf numFmtId="0" fontId="23" fillId="0" borderId="164" xfId="0" applyFont="1" applyFill="1" applyBorder="1" applyAlignment="1">
      <alignment vertical="center" wrapText="1"/>
    </xf>
    <xf numFmtId="4" fontId="23" fillId="0" borderId="165" xfId="0" applyNumberFormat="1" applyFont="1" applyFill="1" applyBorder="1" applyAlignment="1">
      <alignment vertical="center"/>
    </xf>
    <xf numFmtId="0" fontId="18" fillId="0" borderId="156" xfId="0" applyFont="1" applyFill="1" applyBorder="1" applyAlignment="1">
      <alignment vertical="center"/>
    </xf>
    <xf numFmtId="4" fontId="23" fillId="0" borderId="166" xfId="0" applyNumberFormat="1" applyFont="1" applyFill="1" applyBorder="1" applyAlignment="1">
      <alignment vertical="center"/>
    </xf>
    <xf numFmtId="0" fontId="23" fillId="0" borderId="100" xfId="0" applyFont="1" applyFill="1" applyBorder="1" applyAlignment="1">
      <alignment vertical="center" wrapText="1"/>
    </xf>
    <xf numFmtId="4" fontId="23" fillId="0" borderId="64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177" fontId="32" fillId="0" borderId="100" xfId="0" applyNumberFormat="1" applyFont="1" applyBorder="1" applyAlignment="1">
      <alignment vertical="center"/>
    </xf>
    <xf numFmtId="177" fontId="11" fillId="0" borderId="101" xfId="0" applyNumberFormat="1" applyFont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185" fontId="24" fillId="0" borderId="10" xfId="0" applyNumberFormat="1" applyFont="1" applyFill="1" applyBorder="1" applyAlignment="1">
      <alignment vertical="center"/>
    </xf>
    <xf numFmtId="185" fontId="8" fillId="0" borderId="24" xfId="0" applyNumberFormat="1" applyFont="1" applyFill="1" applyBorder="1" applyAlignment="1">
      <alignment vertical="center"/>
    </xf>
    <xf numFmtId="185" fontId="8" fillId="0" borderId="27" xfId="0" applyNumberFormat="1" applyFont="1" applyFill="1" applyBorder="1" applyAlignment="1">
      <alignment vertical="center"/>
    </xf>
    <xf numFmtId="185" fontId="8" fillId="0" borderId="30" xfId="0" applyNumberFormat="1" applyFont="1" applyFill="1" applyBorder="1" applyAlignment="1">
      <alignment vertical="center"/>
    </xf>
    <xf numFmtId="185" fontId="24" fillId="0" borderId="21" xfId="0" applyNumberFormat="1" applyFont="1" applyFill="1" applyBorder="1" applyAlignment="1">
      <alignment vertical="center"/>
    </xf>
    <xf numFmtId="4" fontId="18" fillId="34" borderId="157" xfId="0" applyNumberFormat="1" applyFont="1" applyFill="1" applyBorder="1" applyAlignment="1">
      <alignment vertical="center" wrapText="1"/>
    </xf>
    <xf numFmtId="4" fontId="18" fillId="0" borderId="167" xfId="0" applyNumberFormat="1" applyFont="1" applyFill="1" applyBorder="1" applyAlignment="1">
      <alignment horizontal="right" vertical="center" wrapText="1"/>
    </xf>
    <xf numFmtId="0" fontId="44" fillId="0" borderId="100" xfId="0" applyFont="1" applyFill="1" applyBorder="1" applyAlignment="1">
      <alignment vertical="center" wrapText="1"/>
    </xf>
    <xf numFmtId="0" fontId="18" fillId="0" borderId="168" xfId="0" applyFont="1" applyFill="1" applyBorder="1" applyAlignment="1">
      <alignment vertical="center" wrapText="1"/>
    </xf>
    <xf numFmtId="4" fontId="18" fillId="0" borderId="169" xfId="0" applyNumberFormat="1" applyFont="1" applyFill="1" applyBorder="1" applyAlignment="1">
      <alignment horizontal="right" vertical="center" wrapText="1"/>
    </xf>
    <xf numFmtId="0" fontId="18" fillId="0" borderId="161" xfId="0" applyFont="1" applyFill="1" applyBorder="1" applyAlignment="1">
      <alignment vertical="center"/>
    </xf>
    <xf numFmtId="0" fontId="23" fillId="0" borderId="170" xfId="0" applyFont="1" applyFill="1" applyBorder="1" applyAlignment="1">
      <alignment vertical="center" wrapText="1"/>
    </xf>
    <xf numFmtId="4" fontId="23" fillId="0" borderId="170" xfId="0" applyNumberFormat="1" applyFont="1" applyFill="1" applyBorder="1" applyAlignment="1">
      <alignment vertical="center"/>
    </xf>
    <xf numFmtId="0" fontId="18" fillId="34" borderId="157" xfId="0" applyFont="1" applyFill="1" applyBorder="1" applyAlignment="1">
      <alignment vertical="center" wrapText="1"/>
    </xf>
    <xf numFmtId="0" fontId="18" fillId="0" borderId="157" xfId="0" applyFont="1" applyFill="1" applyBorder="1" applyAlignment="1">
      <alignment vertical="center" wrapText="1"/>
    </xf>
    <xf numFmtId="0" fontId="18" fillId="0" borderId="167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38" fillId="0" borderId="0" xfId="0" applyFont="1" applyBorder="1" applyAlignment="1">
      <alignment/>
    </xf>
    <xf numFmtId="4" fontId="23" fillId="0" borderId="171" xfId="0" applyNumberFormat="1" applyFont="1" applyFill="1" applyBorder="1" applyAlignment="1">
      <alignment vertical="center"/>
    </xf>
    <xf numFmtId="0" fontId="23" fillId="0" borderId="151" xfId="0" applyFont="1" applyFill="1" applyBorder="1" applyAlignment="1">
      <alignment vertical="center" wrapText="1"/>
    </xf>
    <xf numFmtId="4" fontId="23" fillId="0" borderId="151" xfId="0" applyNumberFormat="1" applyFont="1" applyFill="1" applyBorder="1" applyAlignment="1">
      <alignment vertical="center"/>
    </xf>
    <xf numFmtId="0" fontId="18" fillId="0" borderId="100" xfId="0" applyFont="1" applyFill="1" applyBorder="1" applyAlignment="1">
      <alignment vertical="center" wrapText="1"/>
    </xf>
    <xf numFmtId="4" fontId="38" fillId="0" borderId="0" xfId="0" applyNumberFormat="1" applyFont="1" applyAlignment="1">
      <alignment/>
    </xf>
    <xf numFmtId="176" fontId="6" fillId="0" borderId="5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176" fontId="6" fillId="0" borderId="127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172" xfId="0" applyNumberFormat="1" applyFont="1" applyBorder="1" applyAlignment="1">
      <alignment vertical="center"/>
    </xf>
    <xf numFmtId="176" fontId="6" fillId="0" borderId="100" xfId="0" applyNumberFormat="1" applyFont="1" applyBorder="1" applyAlignment="1">
      <alignment vertical="center"/>
    </xf>
    <xf numFmtId="176" fontId="6" fillId="0" borderId="173" xfId="0" applyNumberFormat="1" applyFont="1" applyBorder="1" applyAlignment="1">
      <alignment vertical="center"/>
    </xf>
    <xf numFmtId="176" fontId="6" fillId="0" borderId="103" xfId="0" applyNumberFormat="1" applyFont="1" applyBorder="1" applyAlignment="1">
      <alignment vertical="center"/>
    </xf>
    <xf numFmtId="176" fontId="6" fillId="0" borderId="17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75" xfId="0" applyNumberFormat="1" applyFont="1" applyBorder="1" applyAlignment="1">
      <alignment vertical="center"/>
    </xf>
    <xf numFmtId="176" fontId="6" fillId="0" borderId="129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8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7" fontId="11" fillId="0" borderId="80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85" fontId="11" fillId="0" borderId="176" xfId="0" applyNumberFormat="1" applyFont="1" applyBorder="1" applyAlignment="1">
      <alignment vertical="center"/>
    </xf>
    <xf numFmtId="177" fontId="4" fillId="0" borderId="177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177" fontId="32" fillId="0" borderId="178" xfId="0" applyNumberFormat="1" applyFont="1" applyBorder="1" applyAlignment="1">
      <alignment vertical="center"/>
    </xf>
    <xf numFmtId="185" fontId="32" fillId="0" borderId="175" xfId="0" applyNumberFormat="1" applyFont="1" applyBorder="1" applyAlignment="1">
      <alignment vertical="center"/>
    </xf>
    <xf numFmtId="185" fontId="32" fillId="0" borderId="0" xfId="0" applyNumberFormat="1" applyFont="1" applyBorder="1" applyAlignment="1">
      <alignment vertical="center"/>
    </xf>
    <xf numFmtId="177" fontId="32" fillId="0" borderId="84" xfId="0" applyNumberFormat="1" applyFont="1" applyBorder="1" applyAlignment="1">
      <alignment vertical="center"/>
    </xf>
    <xf numFmtId="185" fontId="32" fillId="0" borderId="98" xfId="0" applyNumberFormat="1" applyFont="1" applyBorder="1" applyAlignment="1">
      <alignment vertical="center"/>
    </xf>
    <xf numFmtId="185" fontId="33" fillId="0" borderId="11" xfId="0" applyNumberFormat="1" applyFont="1" applyBorder="1" applyAlignment="1">
      <alignment vertical="center"/>
    </xf>
    <xf numFmtId="176" fontId="20" fillId="33" borderId="0" xfId="0" applyNumberFormat="1" applyFont="1" applyFill="1" applyBorder="1" applyAlignment="1">
      <alignment horizontal="right" vertical="center" wrapText="1"/>
    </xf>
    <xf numFmtId="176" fontId="30" fillId="0" borderId="100" xfId="0" applyNumberFormat="1" applyFont="1" applyBorder="1" applyAlignment="1">
      <alignment horizontal="center" vertical="center"/>
    </xf>
    <xf numFmtId="176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7" fontId="33" fillId="0" borderId="100" xfId="0" applyNumberFormat="1" applyFont="1" applyBorder="1" applyAlignment="1">
      <alignment vertical="center"/>
    </xf>
    <xf numFmtId="177" fontId="33" fillId="0" borderId="0" xfId="0" applyNumberFormat="1" applyFont="1" applyBorder="1" applyAlignment="1">
      <alignment vertical="center"/>
    </xf>
    <xf numFmtId="176" fontId="11" fillId="0" borderId="179" xfId="0" applyNumberFormat="1" applyFont="1" applyBorder="1" applyAlignment="1">
      <alignment vertical="center"/>
    </xf>
    <xf numFmtId="177" fontId="11" fillId="0" borderId="65" xfId="0" applyNumberFormat="1" applyFont="1" applyBorder="1" applyAlignment="1">
      <alignment vertical="center"/>
    </xf>
    <xf numFmtId="185" fontId="11" fillId="0" borderId="66" xfId="0" applyNumberFormat="1" applyFont="1" applyBorder="1" applyAlignment="1">
      <alignment vertical="center"/>
    </xf>
    <xf numFmtId="177" fontId="11" fillId="0" borderId="180" xfId="0" applyNumberFormat="1" applyFont="1" applyBorder="1" applyAlignment="1">
      <alignment vertical="center"/>
    </xf>
    <xf numFmtId="177" fontId="11" fillId="0" borderId="181" xfId="0" applyNumberFormat="1" applyFont="1" applyBorder="1" applyAlignment="1">
      <alignment vertical="center"/>
    </xf>
    <xf numFmtId="177" fontId="11" fillId="0" borderId="182" xfId="0" applyNumberFormat="1" applyFont="1" applyBorder="1" applyAlignment="1">
      <alignment vertical="center"/>
    </xf>
    <xf numFmtId="177" fontId="11" fillId="0" borderId="183" xfId="0" applyNumberFormat="1" applyFont="1" applyBorder="1" applyAlignment="1">
      <alignment vertical="center"/>
    </xf>
    <xf numFmtId="185" fontId="11" fillId="0" borderId="184" xfId="0" applyNumberFormat="1" applyFont="1" applyBorder="1" applyAlignment="1">
      <alignment vertical="center"/>
    </xf>
    <xf numFmtId="177" fontId="11" fillId="0" borderId="185" xfId="0" applyNumberFormat="1" applyFont="1" applyBorder="1" applyAlignment="1">
      <alignment vertical="center"/>
    </xf>
    <xf numFmtId="185" fontId="11" fillId="0" borderId="66" xfId="0" applyNumberFormat="1" applyFont="1" applyBorder="1" applyAlignment="1">
      <alignment vertical="center"/>
    </xf>
    <xf numFmtId="185" fontId="11" fillId="0" borderId="186" xfId="0" applyNumberFormat="1" applyFont="1" applyBorder="1" applyAlignment="1">
      <alignment vertical="center"/>
    </xf>
    <xf numFmtId="177" fontId="7" fillId="0" borderId="100" xfId="0" applyNumberFormat="1" applyFont="1" applyBorder="1" applyAlignment="1">
      <alignment vertical="center"/>
    </xf>
    <xf numFmtId="177" fontId="7" fillId="0" borderId="101" xfId="0" applyNumberFormat="1" applyFont="1" applyBorder="1" applyAlignment="1">
      <alignment vertical="center"/>
    </xf>
    <xf numFmtId="177" fontId="11" fillId="0" borderId="126" xfId="0" applyNumberFormat="1" applyFont="1" applyBorder="1" applyAlignment="1">
      <alignment vertical="center"/>
    </xf>
    <xf numFmtId="177" fontId="7" fillId="0" borderId="65" xfId="0" applyNumberFormat="1" applyFont="1" applyBorder="1" applyAlignment="1">
      <alignment vertical="center"/>
    </xf>
    <xf numFmtId="176" fontId="31" fillId="0" borderId="187" xfId="0" applyNumberFormat="1" applyFont="1" applyBorder="1" applyAlignment="1">
      <alignment vertical="center"/>
    </xf>
    <xf numFmtId="177" fontId="32" fillId="0" borderId="188" xfId="0" applyNumberFormat="1" applyFont="1" applyBorder="1" applyAlignment="1">
      <alignment vertical="center"/>
    </xf>
    <xf numFmtId="177" fontId="32" fillId="0" borderId="189" xfId="0" applyNumberFormat="1" applyFont="1" applyBorder="1" applyAlignment="1">
      <alignment vertical="center"/>
    </xf>
    <xf numFmtId="177" fontId="32" fillId="0" borderId="190" xfId="0" applyNumberFormat="1" applyFont="1" applyBorder="1" applyAlignment="1">
      <alignment vertical="center"/>
    </xf>
    <xf numFmtId="185" fontId="32" fillId="0" borderId="191" xfId="0" applyNumberFormat="1" applyFont="1" applyBorder="1" applyAlignment="1">
      <alignment vertical="center"/>
    </xf>
    <xf numFmtId="177" fontId="32" fillId="0" borderId="192" xfId="0" applyNumberFormat="1" applyFont="1" applyBorder="1" applyAlignment="1">
      <alignment vertical="center"/>
    </xf>
    <xf numFmtId="185" fontId="32" fillId="0" borderId="193" xfId="0" applyNumberFormat="1" applyFont="1" applyBorder="1" applyAlignment="1">
      <alignment vertical="center"/>
    </xf>
    <xf numFmtId="185" fontId="32" fillId="0" borderId="194" xfId="0" applyNumberFormat="1" applyFont="1" applyBorder="1" applyAlignment="1">
      <alignment vertical="center"/>
    </xf>
    <xf numFmtId="176" fontId="31" fillId="0" borderId="195" xfId="0" applyNumberFormat="1" applyFont="1" applyBorder="1" applyAlignment="1">
      <alignment vertical="center"/>
    </xf>
    <xf numFmtId="177" fontId="32" fillId="0" borderId="196" xfId="0" applyNumberFormat="1" applyFont="1" applyBorder="1" applyAlignment="1">
      <alignment vertical="center"/>
    </xf>
    <xf numFmtId="177" fontId="32" fillId="0" borderId="197" xfId="0" applyNumberFormat="1" applyFont="1" applyBorder="1" applyAlignment="1">
      <alignment vertical="center"/>
    </xf>
    <xf numFmtId="185" fontId="32" fillId="0" borderId="198" xfId="0" applyNumberFormat="1" applyFont="1" applyBorder="1" applyAlignment="1">
      <alignment vertical="center"/>
    </xf>
    <xf numFmtId="177" fontId="32" fillId="0" borderId="199" xfId="0" applyNumberFormat="1" applyFont="1" applyBorder="1" applyAlignment="1">
      <alignment vertical="center"/>
    </xf>
    <xf numFmtId="177" fontId="32" fillId="0" borderId="48" xfId="0" applyNumberFormat="1" applyFont="1" applyBorder="1" applyAlignment="1">
      <alignment vertical="center"/>
    </xf>
    <xf numFmtId="185" fontId="32" fillId="0" borderId="176" xfId="0" applyNumberFormat="1" applyFont="1" applyBorder="1" applyAlignment="1">
      <alignment vertical="center"/>
    </xf>
    <xf numFmtId="185" fontId="32" fillId="0" borderId="200" xfId="0" applyNumberFormat="1" applyFont="1" applyBorder="1" applyAlignment="1">
      <alignment vertical="center"/>
    </xf>
    <xf numFmtId="177" fontId="32" fillId="0" borderId="201" xfId="0" applyNumberFormat="1" applyFont="1" applyBorder="1" applyAlignment="1">
      <alignment vertical="center"/>
    </xf>
    <xf numFmtId="177" fontId="32" fillId="0" borderId="202" xfId="0" applyNumberFormat="1" applyFont="1" applyBorder="1" applyAlignment="1">
      <alignment vertical="center"/>
    </xf>
    <xf numFmtId="185" fontId="32" fillId="0" borderId="203" xfId="0" applyNumberFormat="1" applyFont="1" applyBorder="1" applyAlignment="1">
      <alignment vertical="center"/>
    </xf>
    <xf numFmtId="177" fontId="32" fillId="0" borderId="204" xfId="0" applyNumberFormat="1" applyFont="1" applyBorder="1" applyAlignment="1">
      <alignment vertical="center"/>
    </xf>
    <xf numFmtId="177" fontId="32" fillId="0" borderId="81" xfId="0" applyNumberFormat="1" applyFont="1" applyBorder="1" applyAlignment="1">
      <alignment vertical="center"/>
    </xf>
    <xf numFmtId="177" fontId="32" fillId="0" borderId="205" xfId="0" applyNumberFormat="1" applyFont="1" applyBorder="1" applyAlignment="1">
      <alignment vertical="center"/>
    </xf>
    <xf numFmtId="177" fontId="33" fillId="0" borderId="206" xfId="0" applyNumberFormat="1" applyFont="1" applyBorder="1" applyAlignment="1">
      <alignment vertical="center"/>
    </xf>
    <xf numFmtId="177" fontId="32" fillId="0" borderId="207" xfId="0" applyNumberFormat="1" applyFont="1" applyBorder="1" applyAlignment="1">
      <alignment vertical="center"/>
    </xf>
    <xf numFmtId="177" fontId="32" fillId="0" borderId="208" xfId="0" applyNumberFormat="1" applyFont="1" applyBorder="1" applyAlignment="1">
      <alignment vertical="center"/>
    </xf>
    <xf numFmtId="176" fontId="36" fillId="0" borderId="0" xfId="0" applyNumberFormat="1" applyFont="1" applyBorder="1" applyAlignment="1">
      <alignment vertical="center" wrapText="1"/>
    </xf>
    <xf numFmtId="177" fontId="45" fillId="0" borderId="209" xfId="0" applyNumberFormat="1" applyFont="1" applyFill="1" applyBorder="1" applyAlignment="1">
      <alignment vertical="center"/>
    </xf>
    <xf numFmtId="185" fontId="45" fillId="0" borderId="210" xfId="0" applyNumberFormat="1" applyFont="1" applyFill="1" applyBorder="1" applyAlignment="1">
      <alignment vertical="center"/>
    </xf>
    <xf numFmtId="185" fontId="45" fillId="0" borderId="211" xfId="0" applyNumberFormat="1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49" fontId="46" fillId="35" borderId="13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49" fontId="45" fillId="0" borderId="212" xfId="0" applyNumberFormat="1" applyFont="1" applyFill="1" applyBorder="1" applyAlignment="1">
      <alignment horizontal="center" vertical="center"/>
    </xf>
    <xf numFmtId="49" fontId="45" fillId="0" borderId="213" xfId="0" applyNumberFormat="1" applyFont="1" applyFill="1" applyBorder="1" applyAlignment="1">
      <alignment vertical="center"/>
    </xf>
    <xf numFmtId="0" fontId="45" fillId="0" borderId="214" xfId="0" applyFont="1" applyFill="1" applyBorder="1" applyAlignment="1">
      <alignment horizontal="right" vertical="center"/>
    </xf>
    <xf numFmtId="177" fontId="45" fillId="0" borderId="215" xfId="49" applyNumberFormat="1" applyFont="1" applyFill="1" applyBorder="1" applyAlignment="1">
      <alignment horizontal="right" vertical="center"/>
      <protection/>
    </xf>
    <xf numFmtId="177" fontId="45" fillId="0" borderId="216" xfId="49" applyNumberFormat="1" applyFont="1" applyFill="1" applyBorder="1" applyAlignment="1">
      <alignment horizontal="right" vertical="center"/>
      <protection/>
    </xf>
    <xf numFmtId="177" fontId="45" fillId="0" borderId="217" xfId="0" applyNumberFormat="1" applyFont="1" applyFill="1" applyBorder="1" applyAlignment="1">
      <alignment horizontal="right" vertical="center"/>
    </xf>
    <xf numFmtId="177" fontId="45" fillId="0" borderId="56" xfId="0" applyNumberFormat="1" applyFont="1" applyFill="1" applyBorder="1" applyAlignment="1">
      <alignment horizontal="right" vertical="center"/>
    </xf>
    <xf numFmtId="177" fontId="45" fillId="0" borderId="47" xfId="0" applyNumberFormat="1" applyFont="1" applyFill="1" applyBorder="1" applyAlignment="1">
      <alignment horizontal="right" vertical="center"/>
    </xf>
    <xf numFmtId="177" fontId="45" fillId="0" borderId="57" xfId="0" applyNumberFormat="1" applyFont="1" applyFill="1" applyBorder="1" applyAlignment="1">
      <alignment horizontal="right" vertical="center"/>
    </xf>
    <xf numFmtId="177" fontId="45" fillId="0" borderId="218" xfId="0" applyNumberFormat="1" applyFont="1" applyFill="1" applyBorder="1" applyAlignment="1">
      <alignment horizontal="right" vertical="center"/>
    </xf>
    <xf numFmtId="177" fontId="45" fillId="0" borderId="219" xfId="0" applyNumberFormat="1" applyFont="1" applyFill="1" applyBorder="1" applyAlignment="1">
      <alignment horizontal="right" vertical="center"/>
    </xf>
    <xf numFmtId="177" fontId="45" fillId="0" borderId="220" xfId="0" applyNumberFormat="1" applyFont="1" applyFill="1" applyBorder="1" applyAlignment="1">
      <alignment horizontal="right" vertical="center"/>
    </xf>
    <xf numFmtId="177" fontId="45" fillId="0" borderId="221" xfId="0" applyNumberFormat="1" applyFont="1" applyFill="1" applyBorder="1" applyAlignment="1">
      <alignment horizontal="right" vertical="center"/>
    </xf>
    <xf numFmtId="177" fontId="45" fillId="0" borderId="213" xfId="0" applyNumberFormat="1" applyFont="1" applyFill="1" applyBorder="1" applyAlignment="1">
      <alignment horizontal="right" vertical="center"/>
    </xf>
    <xf numFmtId="185" fontId="45" fillId="0" borderId="21" xfId="0" applyNumberFormat="1" applyFont="1" applyFill="1" applyBorder="1" applyAlignment="1">
      <alignment vertical="center"/>
    </xf>
    <xf numFmtId="49" fontId="45" fillId="0" borderId="114" xfId="0" applyNumberFormat="1" applyFont="1" applyFill="1" applyBorder="1" applyAlignment="1">
      <alignment horizontal="center" vertical="center"/>
    </xf>
    <xf numFmtId="49" fontId="45" fillId="0" borderId="222" xfId="0" applyNumberFormat="1" applyFont="1" applyFill="1" applyBorder="1" applyAlignment="1">
      <alignment vertical="center"/>
    </xf>
    <xf numFmtId="177" fontId="45" fillId="0" borderId="223" xfId="0" applyNumberFormat="1" applyFont="1" applyFill="1" applyBorder="1" applyAlignment="1">
      <alignment horizontal="right" vertical="center"/>
    </xf>
    <xf numFmtId="177" fontId="45" fillId="0" borderId="224" xfId="49" applyNumberFormat="1" applyFont="1" applyFill="1" applyBorder="1" applyAlignment="1">
      <alignment horizontal="right" vertical="center"/>
      <protection/>
    </xf>
    <xf numFmtId="177" fontId="45" fillId="0" borderId="225" xfId="49" applyNumberFormat="1" applyFont="1" applyFill="1" applyBorder="1" applyAlignment="1">
      <alignment horizontal="right" vertical="center"/>
      <protection/>
    </xf>
    <xf numFmtId="177" fontId="45" fillId="0" borderId="226" xfId="0" applyNumberFormat="1" applyFont="1" applyFill="1" applyBorder="1" applyAlignment="1">
      <alignment horizontal="right" vertical="center"/>
    </xf>
    <xf numFmtId="177" fontId="45" fillId="0" borderId="58" xfId="0" applyNumberFormat="1" applyFont="1" applyFill="1" applyBorder="1" applyAlignment="1">
      <alignment horizontal="right" vertical="center"/>
    </xf>
    <xf numFmtId="177" fontId="45" fillId="0" borderId="46" xfId="0" applyNumberFormat="1" applyFont="1" applyFill="1" applyBorder="1" applyAlignment="1">
      <alignment horizontal="right" vertical="center"/>
    </xf>
    <xf numFmtId="177" fontId="45" fillId="0" borderId="59" xfId="0" applyNumberFormat="1" applyFont="1" applyFill="1" applyBorder="1" applyAlignment="1">
      <alignment horizontal="right" vertical="center"/>
    </xf>
    <xf numFmtId="177" fontId="45" fillId="0" borderId="222" xfId="0" applyNumberFormat="1" applyFont="1" applyFill="1" applyBorder="1" applyAlignment="1">
      <alignment horizontal="right" vertical="center"/>
    </xf>
    <xf numFmtId="177" fontId="45" fillId="0" borderId="227" xfId="0" applyNumberFormat="1" applyFont="1" applyFill="1" applyBorder="1" applyAlignment="1">
      <alignment horizontal="right" vertical="center"/>
    </xf>
    <xf numFmtId="177" fontId="45" fillId="0" borderId="228" xfId="0" applyNumberFormat="1" applyFont="1" applyFill="1" applyBorder="1" applyAlignment="1">
      <alignment horizontal="right" vertical="center"/>
    </xf>
    <xf numFmtId="177" fontId="45" fillId="0" borderId="229" xfId="0" applyNumberFormat="1" applyFont="1" applyFill="1" applyBorder="1" applyAlignment="1">
      <alignment horizontal="right" vertical="center"/>
    </xf>
    <xf numFmtId="185" fontId="45" fillId="0" borderId="64" xfId="0" applyNumberFormat="1" applyFont="1" applyFill="1" applyBorder="1" applyAlignment="1">
      <alignment vertical="center"/>
    </xf>
    <xf numFmtId="49" fontId="45" fillId="0" borderId="88" xfId="0" applyNumberFormat="1" applyFont="1" applyFill="1" applyBorder="1" applyAlignment="1">
      <alignment horizontal="center" vertical="center"/>
    </xf>
    <xf numFmtId="49" fontId="45" fillId="0" borderId="230" xfId="0" applyNumberFormat="1" applyFont="1" applyFill="1" applyBorder="1" applyAlignment="1">
      <alignment vertical="center"/>
    </xf>
    <xf numFmtId="177" fontId="45" fillId="0" borderId="231" xfId="0" applyNumberFormat="1" applyFont="1" applyFill="1" applyBorder="1" applyAlignment="1">
      <alignment horizontal="right" vertical="center"/>
    </xf>
    <xf numFmtId="177" fontId="45" fillId="0" borderId="232" xfId="49" applyNumberFormat="1" applyFont="1" applyFill="1" applyBorder="1" applyAlignment="1">
      <alignment horizontal="right" vertical="center"/>
      <protection/>
    </xf>
    <xf numFmtId="177" fontId="45" fillId="0" borderId="15" xfId="0" applyNumberFormat="1" applyFont="1" applyFill="1" applyBorder="1" applyAlignment="1">
      <alignment horizontal="right" vertical="center"/>
    </xf>
    <xf numFmtId="177" fontId="45" fillId="0" borderId="67" xfId="0" applyNumberFormat="1" applyFont="1" applyFill="1" applyBorder="1" applyAlignment="1">
      <alignment horizontal="right" vertical="center"/>
    </xf>
    <xf numFmtId="177" fontId="45" fillId="0" borderId="48" xfId="0" applyNumberFormat="1" applyFont="1" applyFill="1" applyBorder="1" applyAlignment="1">
      <alignment horizontal="right" vertical="center"/>
    </xf>
    <xf numFmtId="177" fontId="45" fillId="0" borderId="68" xfId="0" applyNumberFormat="1" applyFont="1" applyFill="1" applyBorder="1" applyAlignment="1">
      <alignment horizontal="right" vertical="center"/>
    </xf>
    <xf numFmtId="177" fontId="45" fillId="0" borderId="233" xfId="0" applyNumberFormat="1" applyFont="1" applyFill="1" applyBorder="1" applyAlignment="1">
      <alignment horizontal="right" vertical="center"/>
    </xf>
    <xf numFmtId="177" fontId="45" fillId="0" borderId="230" xfId="0" applyNumberFormat="1" applyFont="1" applyFill="1" applyBorder="1" applyAlignment="1">
      <alignment horizontal="right" vertical="center"/>
    </xf>
    <xf numFmtId="177" fontId="45" fillId="0" borderId="234" xfId="0" applyNumberFormat="1" applyFont="1" applyFill="1" applyBorder="1" applyAlignment="1">
      <alignment horizontal="right" vertical="center"/>
    </xf>
    <xf numFmtId="177" fontId="45" fillId="0" borderId="235" xfId="0" applyNumberFormat="1" applyFont="1" applyFill="1" applyBorder="1" applyAlignment="1">
      <alignment horizontal="right" vertical="center"/>
    </xf>
    <xf numFmtId="49" fontId="45" fillId="0" borderId="181" xfId="0" applyNumberFormat="1" applyFont="1" applyFill="1" applyBorder="1" applyAlignment="1">
      <alignment horizontal="center" vertical="center"/>
    </xf>
    <xf numFmtId="49" fontId="45" fillId="0" borderId="179" xfId="0" applyNumberFormat="1" applyFont="1" applyFill="1" applyBorder="1" applyAlignment="1">
      <alignment vertical="center"/>
    </xf>
    <xf numFmtId="177" fontId="45" fillId="0" borderId="236" xfId="0" applyNumberFormat="1" applyFont="1" applyFill="1" applyBorder="1" applyAlignment="1">
      <alignment horizontal="right" vertical="center"/>
    </xf>
    <xf numFmtId="177" fontId="45" fillId="0" borderId="237" xfId="49" applyNumberFormat="1" applyFont="1" applyFill="1" applyBorder="1" applyAlignment="1">
      <alignment horizontal="right" vertical="center"/>
      <protection/>
    </xf>
    <xf numFmtId="177" fontId="45" fillId="0" borderId="238" xfId="49" applyNumberFormat="1" applyFont="1" applyFill="1" applyBorder="1" applyAlignment="1">
      <alignment horizontal="right" vertical="center"/>
      <protection/>
    </xf>
    <xf numFmtId="177" fontId="45" fillId="0" borderId="99" xfId="0" applyNumberFormat="1" applyFont="1" applyFill="1" applyBorder="1" applyAlignment="1">
      <alignment horizontal="right" vertical="center"/>
    </xf>
    <xf numFmtId="177" fontId="45" fillId="0" borderId="178" xfId="0" applyNumberFormat="1" applyFont="1" applyFill="1" applyBorder="1" applyAlignment="1">
      <alignment horizontal="right" vertical="center"/>
    </xf>
    <xf numFmtId="177" fontId="45" fillId="0" borderId="202" xfId="0" applyNumberFormat="1" applyFont="1" applyFill="1" applyBorder="1" applyAlignment="1">
      <alignment horizontal="right" vertical="center"/>
    </xf>
    <xf numFmtId="177" fontId="45" fillId="0" borderId="179" xfId="0" applyNumberFormat="1" applyFont="1" applyFill="1" applyBorder="1" applyAlignment="1">
      <alignment horizontal="right" vertical="center"/>
    </xf>
    <xf numFmtId="177" fontId="45" fillId="0" borderId="239" xfId="0" applyNumberFormat="1" applyFont="1" applyFill="1" applyBorder="1" applyAlignment="1">
      <alignment horizontal="right" vertical="center"/>
    </xf>
    <xf numFmtId="177" fontId="46" fillId="0" borderId="240" xfId="0" applyNumberFormat="1" applyFont="1" applyFill="1" applyBorder="1" applyAlignment="1">
      <alignment horizontal="right" vertical="center"/>
    </xf>
    <xf numFmtId="177" fontId="46" fillId="0" borderId="177" xfId="0" applyNumberFormat="1" applyFont="1" applyFill="1" applyBorder="1" applyAlignment="1">
      <alignment horizontal="right" vertical="center"/>
    </xf>
    <xf numFmtId="177" fontId="46" fillId="0" borderId="241" xfId="0" applyNumberFormat="1" applyFont="1" applyFill="1" applyBorder="1" applyAlignment="1">
      <alignment horizontal="right" vertical="center"/>
    </xf>
    <xf numFmtId="177" fontId="46" fillId="0" borderId="10" xfId="0" applyNumberFormat="1" applyFont="1" applyFill="1" applyBorder="1" applyAlignment="1">
      <alignment horizontal="right" vertical="center"/>
    </xf>
    <xf numFmtId="177" fontId="46" fillId="0" borderId="242" xfId="0" applyNumberFormat="1" applyFont="1" applyFill="1" applyBorder="1" applyAlignment="1">
      <alignment horizontal="right" vertical="center"/>
    </xf>
    <xf numFmtId="177" fontId="46" fillId="0" borderId="243" xfId="0" applyNumberFormat="1" applyFont="1" applyFill="1" applyBorder="1" applyAlignment="1">
      <alignment horizontal="right" vertical="center"/>
    </xf>
    <xf numFmtId="177" fontId="46" fillId="0" borderId="244" xfId="0" applyNumberFormat="1" applyFont="1" applyFill="1" applyBorder="1" applyAlignment="1">
      <alignment horizontal="right" vertical="center"/>
    </xf>
    <xf numFmtId="177" fontId="46" fillId="0" borderId="16" xfId="0" applyNumberFormat="1" applyFont="1" applyFill="1" applyBorder="1" applyAlignment="1">
      <alignment horizontal="right" vertical="center"/>
    </xf>
    <xf numFmtId="177" fontId="46" fillId="0" borderId="245" xfId="0" applyNumberFormat="1" applyFont="1" applyFill="1" applyBorder="1" applyAlignment="1">
      <alignment horizontal="right" vertical="center"/>
    </xf>
    <xf numFmtId="177" fontId="46" fillId="0" borderId="246" xfId="0" applyNumberFormat="1" applyFont="1" applyFill="1" applyBorder="1" applyAlignment="1">
      <alignment horizontal="right" vertical="center"/>
    </xf>
    <xf numFmtId="49" fontId="45" fillId="0" borderId="213" xfId="0" applyNumberFormat="1" applyFont="1" applyFill="1" applyBorder="1" applyAlignment="1">
      <alignment horizontal="center" vertical="center"/>
    </xf>
    <xf numFmtId="49" fontId="45" fillId="0" borderId="247" xfId="0" applyNumberFormat="1" applyFont="1" applyFill="1" applyBorder="1" applyAlignment="1">
      <alignment vertical="center"/>
    </xf>
    <xf numFmtId="177" fontId="45" fillId="0" borderId="248" xfId="0" applyNumberFormat="1" applyFont="1" applyFill="1" applyBorder="1" applyAlignment="1">
      <alignment horizontal="right" vertical="center"/>
    </xf>
    <xf numFmtId="177" fontId="45" fillId="0" borderId="215" xfId="0" applyNumberFormat="1" applyFont="1" applyFill="1" applyBorder="1" applyAlignment="1">
      <alignment horizontal="right" vertical="center"/>
    </xf>
    <xf numFmtId="177" fontId="45" fillId="0" borderId="216" xfId="0" applyNumberFormat="1" applyFont="1" applyFill="1" applyBorder="1" applyAlignment="1">
      <alignment horizontal="right" vertical="center"/>
    </xf>
    <xf numFmtId="177" fontId="45" fillId="0" borderId="249" xfId="0" applyNumberFormat="1" applyFont="1" applyFill="1" applyBorder="1" applyAlignment="1">
      <alignment horizontal="right" vertical="center"/>
    </xf>
    <xf numFmtId="49" fontId="45" fillId="0" borderId="222" xfId="0" applyNumberFormat="1" applyFont="1" applyFill="1" applyBorder="1" applyAlignment="1">
      <alignment horizontal="center" vertical="center"/>
    </xf>
    <xf numFmtId="49" fontId="45" fillId="0" borderId="249" xfId="0" applyNumberFormat="1" applyFont="1" applyFill="1" applyBorder="1" applyAlignment="1">
      <alignment vertical="center"/>
    </xf>
    <xf numFmtId="177" fontId="45" fillId="0" borderId="250" xfId="0" applyNumberFormat="1" applyFont="1" applyFill="1" applyBorder="1" applyAlignment="1">
      <alignment horizontal="right" vertical="center"/>
    </xf>
    <xf numFmtId="177" fontId="45" fillId="0" borderId="251" xfId="0" applyNumberFormat="1" applyFont="1" applyFill="1" applyBorder="1" applyAlignment="1">
      <alignment horizontal="right" vertical="center"/>
    </xf>
    <xf numFmtId="177" fontId="45" fillId="0" borderId="252" xfId="0" applyNumberFormat="1" applyFont="1" applyFill="1" applyBorder="1" applyAlignment="1">
      <alignment horizontal="right" vertical="center"/>
    </xf>
    <xf numFmtId="177" fontId="45" fillId="0" borderId="253" xfId="0" applyNumberFormat="1" applyFont="1" applyFill="1" applyBorder="1" applyAlignment="1">
      <alignment horizontal="right" vertical="center"/>
    </xf>
    <xf numFmtId="49" fontId="45" fillId="0" borderId="249" xfId="0" applyNumberFormat="1" applyFont="1" applyFill="1" applyBorder="1" applyAlignment="1">
      <alignment vertical="center" wrapText="1"/>
    </xf>
    <xf numFmtId="177" fontId="45" fillId="0" borderId="250" xfId="35" applyNumberFormat="1" applyFont="1" applyFill="1" applyBorder="1" applyAlignment="1">
      <alignment horizontal="right" vertical="center"/>
    </xf>
    <xf numFmtId="177" fontId="45" fillId="0" borderId="251" xfId="35" applyNumberFormat="1" applyFont="1" applyFill="1" applyBorder="1" applyAlignment="1">
      <alignment horizontal="right" vertical="center"/>
    </xf>
    <xf numFmtId="177" fontId="45" fillId="0" borderId="252" xfId="35" applyNumberFormat="1" applyFont="1" applyFill="1" applyBorder="1" applyAlignment="1">
      <alignment horizontal="right" vertical="center"/>
    </xf>
    <xf numFmtId="177" fontId="45" fillId="0" borderId="254" xfId="35" applyNumberFormat="1" applyFont="1" applyFill="1" applyBorder="1" applyAlignment="1">
      <alignment horizontal="right" vertical="center"/>
    </xf>
    <xf numFmtId="177" fontId="45" fillId="0" borderId="255" xfId="35" applyNumberFormat="1" applyFont="1" applyFill="1" applyBorder="1" applyAlignment="1">
      <alignment horizontal="right" vertical="center"/>
    </xf>
    <xf numFmtId="177" fontId="45" fillId="0" borderId="256" xfId="35" applyNumberFormat="1" applyFont="1" applyFill="1" applyBorder="1" applyAlignment="1">
      <alignment horizontal="right" vertical="center"/>
    </xf>
    <xf numFmtId="177" fontId="45" fillId="0" borderId="257" xfId="0" applyNumberFormat="1" applyFont="1" applyFill="1" applyBorder="1" applyAlignment="1">
      <alignment horizontal="right" vertical="center"/>
    </xf>
    <xf numFmtId="177" fontId="45" fillId="0" borderId="258" xfId="35" applyNumberFormat="1" applyFont="1" applyFill="1" applyBorder="1" applyAlignment="1">
      <alignment horizontal="right" vertical="center"/>
    </xf>
    <xf numFmtId="177" fontId="45" fillId="0" borderId="259" xfId="0" applyNumberFormat="1" applyFont="1" applyFill="1" applyBorder="1" applyAlignment="1">
      <alignment horizontal="right" vertical="center"/>
    </xf>
    <xf numFmtId="49" fontId="45" fillId="0" borderId="179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vertical="center"/>
    </xf>
    <xf numFmtId="177" fontId="45" fillId="0" borderId="260" xfId="35" applyNumberFormat="1" applyFont="1" applyFill="1" applyBorder="1" applyAlignment="1">
      <alignment horizontal="right" vertical="center"/>
    </xf>
    <xf numFmtId="177" fontId="45" fillId="0" borderId="65" xfId="35" applyNumberFormat="1" applyFont="1" applyFill="1" applyBorder="1" applyAlignment="1">
      <alignment horizontal="right" vertical="center"/>
    </xf>
    <xf numFmtId="177" fontId="45" fillId="0" borderId="66" xfId="35" applyNumberFormat="1" applyFont="1" applyFill="1" applyBorder="1" applyAlignment="1">
      <alignment horizontal="right" vertical="center"/>
    </xf>
    <xf numFmtId="177" fontId="45" fillId="0" borderId="261" xfId="0" applyNumberFormat="1" applyFont="1" applyFill="1" applyBorder="1" applyAlignment="1">
      <alignment horizontal="right" vertical="center"/>
    </xf>
    <xf numFmtId="177" fontId="45" fillId="0" borderId="262" xfId="0" applyNumberFormat="1" applyFont="1" applyFill="1" applyBorder="1" applyAlignment="1">
      <alignment horizontal="right" vertical="center"/>
    </xf>
    <xf numFmtId="177" fontId="45" fillId="0" borderId="249" xfId="35" applyNumberFormat="1" applyFont="1" applyFill="1" applyBorder="1" applyAlignment="1">
      <alignment horizontal="right" vertical="center"/>
    </xf>
    <xf numFmtId="177" fontId="45" fillId="0" borderId="12" xfId="0" applyNumberFormat="1" applyFont="1" applyFill="1" applyBorder="1" applyAlignment="1">
      <alignment horizontal="right" vertical="center"/>
    </xf>
    <xf numFmtId="177" fontId="46" fillId="0" borderId="263" xfId="0" applyNumberFormat="1" applyFont="1" applyFill="1" applyBorder="1" applyAlignment="1">
      <alignment horizontal="right" vertical="center"/>
    </xf>
    <xf numFmtId="177" fontId="46" fillId="0" borderId="35" xfId="0" applyNumberFormat="1" applyFont="1" applyFill="1" applyBorder="1" applyAlignment="1">
      <alignment horizontal="right" vertical="center"/>
    </xf>
    <xf numFmtId="177" fontId="46" fillId="0" borderId="39" xfId="0" applyNumberFormat="1" applyFont="1" applyFill="1" applyBorder="1" applyAlignment="1">
      <alignment horizontal="right" vertical="center"/>
    </xf>
    <xf numFmtId="177" fontId="46" fillId="0" borderId="11" xfId="0" applyNumberFormat="1" applyFont="1" applyFill="1" applyBorder="1" applyAlignment="1">
      <alignment horizontal="right" vertical="center"/>
    </xf>
    <xf numFmtId="177" fontId="46" fillId="0" borderId="264" xfId="0" applyNumberFormat="1" applyFont="1" applyFill="1" applyBorder="1" applyAlignment="1">
      <alignment horizontal="right" vertical="center"/>
    </xf>
    <xf numFmtId="49" fontId="45" fillId="0" borderId="218" xfId="0" applyNumberFormat="1" applyFont="1" applyFill="1" applyBorder="1" applyAlignment="1">
      <alignment vertical="center"/>
    </xf>
    <xf numFmtId="177" fontId="45" fillId="0" borderId="265" xfId="0" applyNumberFormat="1" applyFont="1" applyFill="1" applyBorder="1" applyAlignment="1">
      <alignment horizontal="right" vertical="center"/>
    </xf>
    <xf numFmtId="177" fontId="45" fillId="0" borderId="50" xfId="0" applyNumberFormat="1" applyFont="1" applyFill="1" applyBorder="1" applyAlignment="1">
      <alignment horizontal="right" vertical="center"/>
    </xf>
    <xf numFmtId="177" fontId="45" fillId="0" borderId="52" xfId="0" applyNumberFormat="1" applyFont="1" applyFill="1" applyBorder="1" applyAlignment="1">
      <alignment horizontal="right" vertical="center"/>
    </xf>
    <xf numFmtId="177" fontId="45" fillId="0" borderId="14" xfId="0" applyNumberFormat="1" applyFont="1" applyFill="1" applyBorder="1" applyAlignment="1">
      <alignment horizontal="right" vertical="center"/>
    </xf>
    <xf numFmtId="177" fontId="45" fillId="0" borderId="266" xfId="0" applyNumberFormat="1" applyFont="1" applyFill="1" applyBorder="1" applyAlignment="1">
      <alignment horizontal="right" vertical="center"/>
    </xf>
    <xf numFmtId="177" fontId="45" fillId="0" borderId="267" xfId="0" applyNumberFormat="1" applyFont="1" applyFill="1" applyBorder="1" applyAlignment="1">
      <alignment horizontal="right" vertical="center"/>
    </xf>
    <xf numFmtId="177" fontId="45" fillId="0" borderId="268" xfId="0" applyNumberFormat="1" applyFont="1" applyFill="1" applyBorder="1" applyAlignment="1">
      <alignment horizontal="right" vertical="center"/>
    </xf>
    <xf numFmtId="49" fontId="45" fillId="0" borderId="64" xfId="0" applyNumberFormat="1" applyFont="1" applyFill="1" applyBorder="1" applyAlignment="1">
      <alignment horizontal="center" vertical="center"/>
    </xf>
    <xf numFmtId="177" fontId="45" fillId="0" borderId="269" xfId="0" applyNumberFormat="1" applyFont="1" applyFill="1" applyBorder="1" applyAlignment="1">
      <alignment horizontal="right" vertical="center"/>
    </xf>
    <xf numFmtId="177" fontId="45" fillId="0" borderId="270" xfId="0" applyNumberFormat="1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vertical="center" wrapText="1"/>
    </xf>
    <xf numFmtId="177" fontId="45" fillId="0" borderId="271" xfId="35" applyNumberFormat="1" applyFont="1" applyFill="1" applyBorder="1" applyAlignment="1">
      <alignment horizontal="right" vertical="center"/>
    </xf>
    <xf numFmtId="177" fontId="45" fillId="0" borderId="272" xfId="49" applyNumberFormat="1" applyFont="1" applyFill="1" applyBorder="1" applyAlignment="1">
      <alignment horizontal="right" vertical="center"/>
      <protection/>
    </xf>
    <xf numFmtId="177" fontId="45" fillId="0" borderId="273" xfId="49" applyNumberFormat="1" applyFont="1" applyFill="1" applyBorder="1" applyAlignment="1">
      <alignment horizontal="right" vertical="center"/>
      <protection/>
    </xf>
    <xf numFmtId="177" fontId="45" fillId="0" borderId="274" xfId="0" applyNumberFormat="1" applyFont="1" applyFill="1" applyBorder="1" applyAlignment="1">
      <alignment horizontal="right" vertical="center"/>
    </xf>
    <xf numFmtId="177" fontId="46" fillId="0" borderId="11" xfId="34" applyNumberFormat="1" applyFont="1" applyFill="1" applyBorder="1" applyAlignment="1">
      <alignment horizontal="right" vertical="center"/>
    </xf>
    <xf numFmtId="177" fontId="46" fillId="0" borderId="275" xfId="0" applyNumberFormat="1" applyFont="1" applyFill="1" applyBorder="1" applyAlignment="1">
      <alignment horizontal="right" vertical="center"/>
    </xf>
    <xf numFmtId="177" fontId="46" fillId="0" borderId="11" xfId="35" applyNumberFormat="1" applyFont="1" applyFill="1" applyBorder="1" applyAlignment="1">
      <alignment horizontal="right" vertical="center"/>
    </xf>
    <xf numFmtId="49" fontId="45" fillId="0" borderId="97" xfId="0" applyNumberFormat="1" applyFont="1" applyFill="1" applyBorder="1" applyAlignment="1">
      <alignment vertical="center"/>
    </xf>
    <xf numFmtId="177" fontId="45" fillId="0" borderId="276" xfId="0" applyNumberFormat="1" applyFont="1" applyFill="1" applyBorder="1" applyAlignment="1">
      <alignment horizontal="right" vertical="center"/>
    </xf>
    <xf numFmtId="177" fontId="45" fillId="0" borderId="277" xfId="0" applyNumberFormat="1" applyFont="1" applyFill="1" applyBorder="1" applyAlignment="1">
      <alignment horizontal="right" vertical="center"/>
    </xf>
    <xf numFmtId="177" fontId="45" fillId="0" borderId="278" xfId="0" applyNumberFormat="1" applyFont="1" applyFill="1" applyBorder="1" applyAlignment="1">
      <alignment horizontal="right" vertical="center"/>
    </xf>
    <xf numFmtId="177" fontId="45" fillId="0" borderId="194" xfId="35" applyNumberFormat="1" applyFont="1" applyFill="1" applyBorder="1" applyAlignment="1">
      <alignment horizontal="right" vertical="center"/>
    </xf>
    <xf numFmtId="177" fontId="45" fillId="0" borderId="98" xfId="35" applyNumberFormat="1" applyFont="1" applyFill="1" applyBorder="1" applyAlignment="1">
      <alignment horizontal="right" vertical="center"/>
    </xf>
    <xf numFmtId="177" fontId="45" fillId="0" borderId="279" xfId="0" applyNumberFormat="1" applyFont="1" applyFill="1" applyBorder="1" applyAlignment="1">
      <alignment horizontal="right" vertical="center"/>
    </xf>
    <xf numFmtId="177" fontId="45" fillId="0" borderId="280" xfId="0" applyNumberFormat="1" applyFont="1" applyFill="1" applyBorder="1" applyAlignment="1">
      <alignment horizontal="right" vertical="center"/>
    </xf>
    <xf numFmtId="177" fontId="45" fillId="0" borderId="281" xfId="0" applyNumberFormat="1" applyFont="1" applyFill="1" applyBorder="1" applyAlignment="1">
      <alignment horizontal="right" vertical="center"/>
    </xf>
    <xf numFmtId="177" fontId="45" fillId="0" borderId="282" xfId="0" applyNumberFormat="1" applyFont="1" applyFill="1" applyBorder="1" applyAlignment="1">
      <alignment vertical="center"/>
    </xf>
    <xf numFmtId="177" fontId="45" fillId="0" borderId="15" xfId="0" applyNumberFormat="1" applyFont="1" applyFill="1" applyBorder="1" applyAlignment="1">
      <alignment vertical="center"/>
    </xf>
    <xf numFmtId="49" fontId="45" fillId="0" borderId="94" xfId="49" applyNumberFormat="1" applyFont="1" applyFill="1" applyBorder="1" applyAlignment="1">
      <alignment horizontal="center" vertical="center"/>
      <protection/>
    </xf>
    <xf numFmtId="49" fontId="45" fillId="0" borderId="114" xfId="0" applyNumberFormat="1" applyFont="1" applyFill="1" applyBorder="1" applyAlignment="1">
      <alignment vertical="center"/>
    </xf>
    <xf numFmtId="49" fontId="45" fillId="0" borderId="63" xfId="0" applyNumberFormat="1" applyFont="1" applyFill="1" applyBorder="1" applyAlignment="1">
      <alignment vertical="center"/>
    </xf>
    <xf numFmtId="49" fontId="45" fillId="0" borderId="94" xfId="0" applyNumberFormat="1" applyFont="1" applyFill="1" applyBorder="1" applyAlignment="1">
      <alignment horizontal="center" vertical="center"/>
    </xf>
    <xf numFmtId="177" fontId="45" fillId="0" borderId="279" xfId="35" applyNumberFormat="1" applyFont="1" applyFill="1" applyBorder="1" applyAlignment="1">
      <alignment horizontal="right" vertical="center"/>
    </xf>
    <xf numFmtId="177" fontId="45" fillId="0" borderId="280" xfId="35" applyNumberFormat="1" applyFont="1" applyFill="1" applyBorder="1" applyAlignment="1">
      <alignment horizontal="right" vertical="center"/>
    </xf>
    <xf numFmtId="177" fontId="45" fillId="0" borderId="283" xfId="0" applyNumberFormat="1" applyFont="1" applyFill="1" applyBorder="1" applyAlignment="1">
      <alignment horizontal="right" vertical="center"/>
    </xf>
    <xf numFmtId="177" fontId="45" fillId="0" borderId="138" xfId="35" applyNumberFormat="1" applyFont="1" applyFill="1" applyBorder="1" applyAlignment="1">
      <alignment horizontal="right" vertical="center"/>
    </xf>
    <xf numFmtId="177" fontId="45" fillId="0" borderId="284" xfId="0" applyNumberFormat="1" applyFont="1" applyFill="1" applyBorder="1" applyAlignment="1">
      <alignment horizontal="right" vertical="center"/>
    </xf>
    <xf numFmtId="177" fontId="46" fillId="0" borderId="285" xfId="0" applyNumberFormat="1" applyFont="1" applyFill="1" applyBorder="1" applyAlignment="1">
      <alignment horizontal="right" vertical="center"/>
    </xf>
    <xf numFmtId="185" fontId="46" fillId="0" borderId="10" xfId="0" applyNumberFormat="1" applyFont="1" applyFill="1" applyBorder="1" applyAlignment="1">
      <alignment vertical="center"/>
    </xf>
    <xf numFmtId="49" fontId="45" fillId="0" borderId="257" xfId="0" applyNumberFormat="1" applyFont="1" applyFill="1" applyBorder="1" applyAlignment="1">
      <alignment horizontal="center" vertical="center"/>
    </xf>
    <xf numFmtId="177" fontId="45" fillId="0" borderId="286" xfId="0" applyNumberFormat="1" applyFont="1" applyFill="1" applyBorder="1" applyAlignment="1">
      <alignment horizontal="right" vertical="center"/>
    </xf>
    <xf numFmtId="177" fontId="45" fillId="0" borderId="233" xfId="35" applyNumberFormat="1" applyFont="1" applyFill="1" applyBorder="1" applyAlignment="1">
      <alignment horizontal="right" vertical="center"/>
    </xf>
    <xf numFmtId="177" fontId="45" fillId="0" borderId="228" xfId="35" applyNumberFormat="1" applyFont="1" applyFill="1" applyBorder="1" applyAlignment="1">
      <alignment horizontal="right" vertical="center"/>
    </xf>
    <xf numFmtId="177" fontId="46" fillId="0" borderId="14" xfId="35" applyNumberFormat="1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horizontal="center" vertical="center"/>
    </xf>
    <xf numFmtId="177" fontId="45" fillId="0" borderId="287" xfId="0" applyNumberFormat="1" applyFont="1" applyFill="1" applyBorder="1" applyAlignment="1">
      <alignment horizontal="right" vertical="center"/>
    </xf>
    <xf numFmtId="177" fontId="45" fillId="0" borderId="288" xfId="0" applyNumberFormat="1" applyFont="1" applyFill="1" applyBorder="1" applyAlignment="1">
      <alignment horizontal="right" vertical="center"/>
    </xf>
    <xf numFmtId="177" fontId="45" fillId="0" borderId="0" xfId="35" applyNumberFormat="1" applyFont="1" applyFill="1" applyBorder="1" applyAlignment="1">
      <alignment horizontal="right" vertical="center"/>
    </xf>
    <xf numFmtId="177" fontId="45" fillId="0" borderId="289" xfId="0" applyNumberFormat="1" applyFont="1" applyFill="1" applyBorder="1" applyAlignment="1">
      <alignment horizontal="right" vertical="center"/>
    </xf>
    <xf numFmtId="177" fontId="45" fillId="0" borderId="15" xfId="35" applyNumberFormat="1" applyFont="1" applyFill="1" applyBorder="1" applyAlignment="1">
      <alignment horizontal="right" vertical="center"/>
    </xf>
    <xf numFmtId="49" fontId="45" fillId="0" borderId="100" xfId="0" applyNumberFormat="1" applyFont="1" applyFill="1" applyBorder="1" applyAlignment="1">
      <alignment vertical="center"/>
    </xf>
    <xf numFmtId="177" fontId="45" fillId="0" borderId="16" xfId="35" applyNumberFormat="1" applyFont="1" applyFill="1" applyBorder="1" applyAlignment="1">
      <alignment horizontal="right" vertical="center"/>
    </xf>
    <xf numFmtId="177" fontId="45" fillId="0" borderId="227" xfId="35" applyNumberFormat="1" applyFont="1" applyFill="1" applyBorder="1" applyAlignment="1">
      <alignment horizontal="right" vertical="center"/>
    </xf>
    <xf numFmtId="177" fontId="46" fillId="0" borderId="128" xfId="0" applyNumberFormat="1" applyFont="1" applyFill="1" applyBorder="1" applyAlignment="1">
      <alignment horizontal="right" vertical="center"/>
    </xf>
    <xf numFmtId="49" fontId="45" fillId="0" borderId="262" xfId="0" applyNumberFormat="1" applyFont="1" applyFill="1" applyBorder="1" applyAlignment="1">
      <alignment horizontal="center" vertical="center"/>
    </xf>
    <xf numFmtId="49" fontId="45" fillId="0" borderId="247" xfId="0" applyNumberFormat="1" applyFont="1" applyFill="1" applyBorder="1" applyAlignment="1">
      <alignment vertical="center" wrapText="1"/>
    </xf>
    <xf numFmtId="177" fontId="45" fillId="0" borderId="255" xfId="49" applyNumberFormat="1" applyFont="1" applyFill="1" applyBorder="1" applyAlignment="1">
      <alignment horizontal="right" vertical="center"/>
      <protection/>
    </xf>
    <xf numFmtId="177" fontId="45" fillId="0" borderId="256" xfId="49" applyNumberFormat="1" applyFont="1" applyFill="1" applyBorder="1" applyAlignment="1">
      <alignment horizontal="right" vertical="center"/>
      <protection/>
    </xf>
    <xf numFmtId="177" fontId="45" fillId="0" borderId="290" xfId="49" applyNumberFormat="1" applyFont="1" applyFill="1" applyBorder="1" applyAlignment="1">
      <alignment horizontal="right" vertical="center"/>
      <protection/>
    </xf>
    <xf numFmtId="177" fontId="45" fillId="0" borderId="252" xfId="49" applyNumberFormat="1" applyFont="1" applyFill="1" applyBorder="1" applyAlignment="1">
      <alignment horizontal="right" vertical="center"/>
      <protection/>
    </xf>
    <xf numFmtId="177" fontId="45" fillId="0" borderId="291" xfId="0" applyNumberFormat="1" applyFont="1" applyFill="1" applyBorder="1" applyAlignment="1">
      <alignment horizontal="right" vertical="center"/>
    </xf>
    <xf numFmtId="177" fontId="45" fillId="0" borderId="267" xfId="49" applyNumberFormat="1" applyFont="1" applyFill="1" applyBorder="1" applyAlignment="1">
      <alignment horizontal="right" vertical="center"/>
      <protection/>
    </xf>
    <xf numFmtId="177" fontId="45" fillId="0" borderId="251" xfId="49" applyNumberFormat="1" applyFont="1" applyFill="1" applyBorder="1" applyAlignment="1">
      <alignment horizontal="right" vertical="center"/>
      <protection/>
    </xf>
    <xf numFmtId="177" fontId="45" fillId="0" borderId="292" xfId="35" applyNumberFormat="1" applyFont="1" applyFill="1" applyBorder="1" applyAlignment="1">
      <alignment horizontal="right" vertical="center"/>
    </xf>
    <xf numFmtId="49" fontId="45" fillId="0" borderId="114" xfId="0" applyNumberFormat="1" applyFont="1" applyFill="1" applyBorder="1" applyAlignment="1">
      <alignment vertical="center" wrapText="1"/>
    </xf>
    <xf numFmtId="177" fontId="45" fillId="0" borderId="267" xfId="35" applyNumberFormat="1" applyFont="1" applyFill="1" applyBorder="1" applyAlignment="1">
      <alignment horizontal="right" vertical="center"/>
    </xf>
    <xf numFmtId="177" fontId="45" fillId="0" borderId="293" xfId="49" applyNumberFormat="1" applyFont="1" applyFill="1" applyBorder="1" applyAlignment="1">
      <alignment horizontal="right" vertical="center"/>
      <protection/>
    </xf>
    <xf numFmtId="177" fontId="45" fillId="0" borderId="294" xfId="0" applyNumberFormat="1" applyFont="1" applyFill="1" applyBorder="1" applyAlignment="1">
      <alignment horizontal="right" vertical="center"/>
    </xf>
    <xf numFmtId="177" fontId="45" fillId="0" borderId="295" xfId="35" applyNumberFormat="1" applyFont="1" applyFill="1" applyBorder="1" applyAlignment="1">
      <alignment horizontal="right" vertical="center"/>
    </xf>
    <xf numFmtId="177" fontId="45" fillId="0" borderId="296" xfId="0" applyNumberFormat="1" applyFont="1" applyFill="1" applyBorder="1" applyAlignment="1">
      <alignment horizontal="right" vertical="center"/>
    </xf>
    <xf numFmtId="177" fontId="45" fillId="0" borderId="297" xfId="35" applyNumberFormat="1" applyFont="1" applyFill="1" applyBorder="1" applyAlignment="1">
      <alignment horizontal="right" vertical="center"/>
    </xf>
    <xf numFmtId="177" fontId="46" fillId="0" borderId="298" xfId="0" applyNumberFormat="1" applyFont="1" applyFill="1" applyBorder="1" applyAlignment="1">
      <alignment vertical="center"/>
    </xf>
    <xf numFmtId="177" fontId="46" fillId="0" borderId="10" xfId="0" applyNumberFormat="1" applyFont="1" applyFill="1" applyBorder="1" applyAlignment="1">
      <alignment vertical="center"/>
    </xf>
    <xf numFmtId="177" fontId="46" fillId="0" borderId="299" xfId="0" applyNumberFormat="1" applyFont="1" applyFill="1" applyBorder="1" applyAlignment="1">
      <alignment horizontal="right" vertical="center"/>
    </xf>
    <xf numFmtId="177" fontId="46" fillId="0" borderId="300" xfId="0" applyNumberFormat="1" applyFont="1" applyFill="1" applyBorder="1" applyAlignment="1">
      <alignment horizontal="right" vertical="center"/>
    </xf>
    <xf numFmtId="177" fontId="45" fillId="0" borderId="15" xfId="34" applyNumberFormat="1" applyFont="1" applyFill="1" applyBorder="1" applyAlignment="1">
      <alignment horizontal="right" vertical="center"/>
    </xf>
    <xf numFmtId="177" fontId="45" fillId="0" borderId="21" xfId="35" applyNumberFormat="1" applyFont="1" applyFill="1" applyBorder="1" applyAlignment="1">
      <alignment horizontal="right" vertical="center"/>
    </xf>
    <xf numFmtId="177" fontId="45" fillId="0" borderId="301" xfId="0" applyNumberFormat="1" applyFont="1" applyFill="1" applyBorder="1" applyAlignment="1">
      <alignment horizontal="right" vertical="center"/>
    </xf>
    <xf numFmtId="49" fontId="45" fillId="0" borderId="108" xfId="0" applyNumberFormat="1" applyFont="1" applyFill="1" applyBorder="1" applyAlignment="1">
      <alignment horizontal="center" vertical="center"/>
    </xf>
    <xf numFmtId="177" fontId="45" fillId="0" borderId="302" xfId="0" applyNumberFormat="1" applyFont="1" applyFill="1" applyBorder="1" applyAlignment="1">
      <alignment horizontal="right" vertical="center"/>
    </xf>
    <xf numFmtId="177" fontId="45" fillId="0" borderId="303" xfId="34" applyNumberFormat="1" applyFont="1" applyFill="1" applyBorder="1" applyAlignment="1">
      <alignment horizontal="right" vertical="center"/>
    </xf>
    <xf numFmtId="49" fontId="45" fillId="0" borderId="100" xfId="0" applyNumberFormat="1" applyFont="1" applyFill="1" applyBorder="1" applyAlignment="1">
      <alignment horizontal="center" vertical="center"/>
    </xf>
    <xf numFmtId="177" fontId="45" fillId="0" borderId="304" xfId="0" applyNumberFormat="1" applyFont="1" applyFill="1" applyBorder="1" applyAlignment="1">
      <alignment horizontal="right" vertical="center"/>
    </xf>
    <xf numFmtId="177" fontId="45" fillId="0" borderId="305" xfId="0" applyNumberFormat="1" applyFont="1" applyFill="1" applyBorder="1" applyAlignment="1">
      <alignment horizontal="right" vertical="center"/>
    </xf>
    <xf numFmtId="177" fontId="45" fillId="0" borderId="306" xfId="0" applyNumberFormat="1" applyFont="1" applyFill="1" applyBorder="1" applyAlignment="1">
      <alignment horizontal="right" vertical="center"/>
    </xf>
    <xf numFmtId="177" fontId="45" fillId="0" borderId="224" xfId="0" applyNumberFormat="1" applyFont="1" applyFill="1" applyBorder="1" applyAlignment="1">
      <alignment horizontal="right" vertical="center"/>
    </xf>
    <xf numFmtId="177" fontId="45" fillId="0" borderId="225" xfId="0" applyNumberFormat="1" applyFont="1" applyFill="1" applyBorder="1" applyAlignment="1">
      <alignment horizontal="right" vertical="center"/>
    </xf>
    <xf numFmtId="49" fontId="45" fillId="0" borderId="103" xfId="0" applyNumberFormat="1" applyFont="1" applyFill="1" applyBorder="1" applyAlignment="1">
      <alignment vertical="center" wrapText="1"/>
    </xf>
    <xf numFmtId="177" fontId="45" fillId="0" borderId="307" xfId="49" applyNumberFormat="1" applyFont="1" applyFill="1" applyBorder="1" applyAlignment="1">
      <alignment horizontal="right" vertical="center"/>
      <protection/>
    </xf>
    <xf numFmtId="177" fontId="45" fillId="0" borderId="16" xfId="49" applyNumberFormat="1" applyFont="1" applyFill="1" applyBorder="1" applyAlignment="1">
      <alignment horizontal="right" vertical="center"/>
      <protection/>
    </xf>
    <xf numFmtId="177" fontId="45" fillId="0" borderId="274" xfId="34" applyNumberFormat="1" applyFont="1" applyFill="1" applyBorder="1" applyAlignment="1">
      <alignment horizontal="right" vertical="center"/>
    </xf>
    <xf numFmtId="177" fontId="45" fillId="0" borderId="308" xfId="0" applyNumberFormat="1" applyFont="1" applyFill="1" applyBorder="1" applyAlignment="1">
      <alignment horizontal="right" vertical="center"/>
    </xf>
    <xf numFmtId="177" fontId="45" fillId="0" borderId="309" xfId="0" applyNumberFormat="1" applyFont="1" applyFill="1" applyBorder="1" applyAlignment="1">
      <alignment horizontal="right" vertical="center"/>
    </xf>
    <xf numFmtId="177" fontId="45" fillId="0" borderId="310" xfId="0" applyNumberFormat="1" applyFont="1" applyFill="1" applyBorder="1" applyAlignment="1">
      <alignment horizontal="right" vertical="center"/>
    </xf>
    <xf numFmtId="177" fontId="45" fillId="0" borderId="230" xfId="35" applyNumberFormat="1" applyFont="1" applyFill="1" applyBorder="1" applyAlignment="1">
      <alignment horizontal="right" vertical="center"/>
    </xf>
    <xf numFmtId="177" fontId="46" fillId="0" borderId="263" xfId="35" applyNumberFormat="1" applyFont="1" applyFill="1" applyBorder="1" applyAlignment="1">
      <alignment horizontal="right" vertical="center"/>
    </xf>
    <xf numFmtId="177" fontId="46" fillId="0" borderId="35" xfId="35" applyNumberFormat="1" applyFont="1" applyFill="1" applyBorder="1" applyAlignment="1">
      <alignment horizontal="right" vertical="center"/>
    </xf>
    <xf numFmtId="177" fontId="46" fillId="0" borderId="39" xfId="35" applyNumberFormat="1" applyFont="1" applyFill="1" applyBorder="1" applyAlignment="1">
      <alignment horizontal="right" vertical="center"/>
    </xf>
    <xf numFmtId="49" fontId="45" fillId="0" borderId="222" xfId="49" applyNumberFormat="1" applyFont="1" applyFill="1" applyBorder="1" applyAlignment="1">
      <alignment horizontal="center" vertical="center"/>
      <protection/>
    </xf>
    <xf numFmtId="177" fontId="45" fillId="0" borderId="311" xfId="0" applyNumberFormat="1" applyFont="1" applyFill="1" applyBorder="1" applyAlignment="1">
      <alignment horizontal="right" vertical="center"/>
    </xf>
    <xf numFmtId="177" fontId="45" fillId="0" borderId="312" xfId="0" applyNumberFormat="1" applyFont="1" applyFill="1" applyBorder="1" applyAlignment="1">
      <alignment horizontal="right" vertical="center"/>
    </xf>
    <xf numFmtId="49" fontId="45" fillId="0" borderId="103" xfId="0" applyNumberFormat="1" applyFont="1" applyFill="1" applyBorder="1" applyAlignment="1">
      <alignment vertical="center"/>
    </xf>
    <xf numFmtId="177" fontId="45" fillId="0" borderId="65" xfId="49" applyNumberFormat="1" applyFont="1" applyFill="1" applyBorder="1" applyAlignment="1">
      <alignment horizontal="right" vertical="center"/>
      <protection/>
    </xf>
    <xf numFmtId="177" fontId="45" fillId="0" borderId="127" xfId="49" applyNumberFormat="1" applyFont="1" applyFill="1" applyBorder="1" applyAlignment="1">
      <alignment horizontal="right" vertical="center"/>
      <protection/>
    </xf>
    <xf numFmtId="177" fontId="45" fillId="0" borderId="245" xfId="35" applyNumberFormat="1" applyFont="1" applyFill="1" applyBorder="1" applyAlignment="1">
      <alignment horizontal="right" vertical="center"/>
    </xf>
    <xf numFmtId="177" fontId="46" fillId="0" borderId="313" xfId="0" applyNumberFormat="1" applyFont="1" applyFill="1" applyBorder="1" applyAlignment="1">
      <alignment vertical="center"/>
    </xf>
    <xf numFmtId="49" fontId="45" fillId="0" borderId="112" xfId="0" applyNumberFormat="1" applyFont="1" applyFill="1" applyBorder="1" applyAlignment="1">
      <alignment horizontal="center" vertical="center"/>
    </xf>
    <xf numFmtId="49" fontId="45" fillId="0" borderId="112" xfId="0" applyNumberFormat="1" applyFont="1" applyFill="1" applyBorder="1" applyAlignment="1">
      <alignment vertical="center"/>
    </xf>
    <xf numFmtId="177" fontId="45" fillId="0" borderId="248" xfId="35" applyNumberFormat="1" applyFont="1" applyFill="1" applyBorder="1" applyAlignment="1">
      <alignment horizontal="right" vertical="center"/>
    </xf>
    <xf numFmtId="177" fontId="45" fillId="0" borderId="314" xfId="35" applyNumberFormat="1" applyFont="1" applyFill="1" applyBorder="1" applyAlignment="1">
      <alignment horizontal="right" vertical="center"/>
    </xf>
    <xf numFmtId="177" fontId="45" fillId="0" borderId="315" xfId="0" applyNumberFormat="1" applyFont="1" applyFill="1" applyBorder="1" applyAlignment="1">
      <alignment horizontal="right" vertical="center"/>
    </xf>
    <xf numFmtId="177" fontId="45" fillId="0" borderId="316" xfId="0" applyNumberFormat="1" applyFont="1" applyFill="1" applyBorder="1" applyAlignment="1">
      <alignment horizontal="right" vertical="center"/>
    </xf>
    <xf numFmtId="177" fontId="45" fillId="0" borderId="303" xfId="0" applyNumberFormat="1" applyFont="1" applyFill="1" applyBorder="1" applyAlignment="1">
      <alignment horizontal="right" vertical="center"/>
    </xf>
    <xf numFmtId="177" fontId="45" fillId="0" borderId="287" xfId="35" applyNumberFormat="1" applyFont="1" applyFill="1" applyBorder="1" applyAlignment="1">
      <alignment horizontal="right" vertical="center"/>
    </xf>
    <xf numFmtId="177" fontId="45" fillId="0" borderId="317" xfId="35" applyNumberFormat="1" applyFont="1" applyFill="1" applyBorder="1" applyAlignment="1">
      <alignment horizontal="right" vertical="center"/>
    </xf>
    <xf numFmtId="177" fontId="45" fillId="0" borderId="318" xfId="35" applyNumberFormat="1" applyFont="1" applyFill="1" applyBorder="1" applyAlignment="1">
      <alignment horizontal="right" vertical="center"/>
    </xf>
    <xf numFmtId="177" fontId="45" fillId="0" borderId="319" xfId="49" applyNumberFormat="1" applyFont="1" applyFill="1" applyBorder="1" applyAlignment="1">
      <alignment horizontal="right" vertical="center"/>
      <protection/>
    </xf>
    <xf numFmtId="177" fontId="45" fillId="0" borderId="318" xfId="49" applyNumberFormat="1" applyFont="1" applyFill="1" applyBorder="1" applyAlignment="1">
      <alignment horizontal="right" vertical="center"/>
      <protection/>
    </xf>
    <xf numFmtId="49" fontId="45" fillId="0" borderId="88" xfId="0" applyNumberFormat="1" applyFont="1" applyFill="1" applyBorder="1" applyAlignment="1">
      <alignment vertical="center"/>
    </xf>
    <xf numFmtId="177" fontId="45" fillId="0" borderId="320" xfId="35" applyNumberFormat="1" applyFont="1" applyFill="1" applyBorder="1" applyAlignment="1">
      <alignment horizontal="right" vertical="center"/>
    </xf>
    <xf numFmtId="177" fontId="45" fillId="0" borderId="321" xfId="0" applyNumberFormat="1" applyFont="1" applyFill="1" applyBorder="1" applyAlignment="1">
      <alignment horizontal="right" vertical="center"/>
    </xf>
    <xf numFmtId="177" fontId="45" fillId="0" borderId="322" xfId="35" applyNumberFormat="1" applyFont="1" applyFill="1" applyBorder="1" applyAlignment="1">
      <alignment horizontal="right" vertical="center"/>
    </xf>
    <xf numFmtId="177" fontId="46" fillId="0" borderId="10" xfId="34" applyNumberFormat="1" applyFont="1" applyFill="1" applyBorder="1" applyAlignment="1">
      <alignment horizontal="right" vertical="center"/>
    </xf>
    <xf numFmtId="177" fontId="45" fillId="0" borderId="323" xfId="35" applyNumberFormat="1" applyFont="1" applyFill="1" applyBorder="1" applyAlignment="1">
      <alignment horizontal="right" vertical="center"/>
    </xf>
    <xf numFmtId="49" fontId="45" fillId="0" borderId="181" xfId="0" applyNumberFormat="1" applyFont="1" applyFill="1" applyBorder="1" applyAlignment="1">
      <alignment vertical="center"/>
    </xf>
    <xf numFmtId="177" fontId="45" fillId="0" borderId="324" xfId="35" applyNumberFormat="1" applyFont="1" applyFill="1" applyBorder="1" applyAlignment="1">
      <alignment horizontal="right" vertical="center"/>
    </xf>
    <xf numFmtId="177" fontId="45" fillId="0" borderId="102" xfId="0" applyNumberFormat="1" applyFont="1" applyFill="1" applyBorder="1" applyAlignment="1">
      <alignment horizontal="right" vertical="center"/>
    </xf>
    <xf numFmtId="177" fontId="45" fillId="0" borderId="325" xfId="0" applyNumberFormat="1" applyFont="1" applyFill="1" applyBorder="1" applyAlignment="1">
      <alignment horizontal="right" vertical="center"/>
    </xf>
    <xf numFmtId="177" fontId="45" fillId="0" borderId="302" xfId="35" applyNumberFormat="1" applyFont="1" applyFill="1" applyBorder="1" applyAlignment="1">
      <alignment horizontal="right" vertical="center"/>
    </xf>
    <xf numFmtId="177" fontId="46" fillId="0" borderId="326" xfId="0" applyNumberFormat="1" applyFont="1" applyFill="1" applyBorder="1" applyAlignment="1">
      <alignment horizontal="right" vertical="center"/>
    </xf>
    <xf numFmtId="177" fontId="46" fillId="0" borderId="65" xfId="0" applyNumberFormat="1" applyFont="1" applyFill="1" applyBorder="1" applyAlignment="1">
      <alignment horizontal="right" vertical="center"/>
    </xf>
    <xf numFmtId="177" fontId="46" fillId="0" borderId="66" xfId="0" applyNumberFormat="1" applyFont="1" applyFill="1" applyBorder="1" applyAlignment="1">
      <alignment horizontal="right" vertical="center"/>
    </xf>
    <xf numFmtId="177" fontId="46" fillId="0" borderId="15" xfId="34" applyNumberFormat="1" applyFont="1" applyFill="1" applyBorder="1" applyAlignment="1">
      <alignment horizontal="right" vertical="center"/>
    </xf>
    <xf numFmtId="177" fontId="46" fillId="0" borderId="220" xfId="0" applyNumberFormat="1" applyFont="1" applyFill="1" applyBorder="1" applyAlignment="1">
      <alignment horizontal="right" vertical="center"/>
    </xf>
    <xf numFmtId="177" fontId="46" fillId="0" borderId="327" xfId="0" applyNumberFormat="1" applyFont="1" applyFill="1" applyBorder="1" applyAlignment="1">
      <alignment horizontal="right" vertical="center"/>
    </xf>
    <xf numFmtId="177" fontId="46" fillId="0" borderId="328" xfId="0" applyNumberFormat="1" applyFont="1" applyFill="1" applyBorder="1" applyAlignment="1">
      <alignment horizontal="right" vertical="center"/>
    </xf>
    <xf numFmtId="177" fontId="46" fillId="0" borderId="329" xfId="0" applyNumberFormat="1" applyFont="1" applyFill="1" applyBorder="1" applyAlignment="1">
      <alignment horizontal="right" vertical="center"/>
    </xf>
    <xf numFmtId="177" fontId="46" fillId="0" borderId="221" xfId="0" applyNumberFormat="1" applyFont="1" applyFill="1" applyBorder="1" applyAlignment="1">
      <alignment horizontal="right" vertical="center"/>
    </xf>
    <xf numFmtId="185" fontId="45" fillId="0" borderId="99" xfId="0" applyNumberFormat="1" applyFont="1" applyFill="1" applyBorder="1" applyAlignment="1">
      <alignment vertical="center"/>
    </xf>
    <xf numFmtId="185" fontId="46" fillId="0" borderId="99" xfId="0" applyNumberFormat="1" applyFont="1" applyFill="1" applyBorder="1" applyAlignment="1">
      <alignment vertical="center"/>
    </xf>
    <xf numFmtId="185" fontId="45" fillId="0" borderId="15" xfId="0" applyNumberFormat="1" applyFont="1" applyFill="1" applyBorder="1" applyAlignment="1">
      <alignment vertical="center"/>
    </xf>
    <xf numFmtId="185" fontId="45" fillId="0" borderId="15" xfId="0" applyNumberFormat="1" applyFont="1" applyFill="1" applyBorder="1" applyAlignment="1">
      <alignment horizontal="right" vertical="center"/>
    </xf>
    <xf numFmtId="185" fontId="46" fillId="0" borderId="330" xfId="0" applyNumberFormat="1" applyFont="1" applyFill="1" applyBorder="1" applyAlignment="1">
      <alignment vertical="center"/>
    </xf>
    <xf numFmtId="177" fontId="46" fillId="36" borderId="331" xfId="0" applyNumberFormat="1" applyFont="1" applyFill="1" applyBorder="1" applyAlignment="1">
      <alignment horizontal="right" vertical="center"/>
    </xf>
    <xf numFmtId="177" fontId="46" fillId="36" borderId="332" xfId="0" applyNumberFormat="1" applyFont="1" applyFill="1" applyBorder="1" applyAlignment="1">
      <alignment horizontal="right" vertical="center"/>
    </xf>
    <xf numFmtId="177" fontId="46" fillId="36" borderId="333" xfId="0" applyNumberFormat="1" applyFont="1" applyFill="1" applyBorder="1" applyAlignment="1">
      <alignment horizontal="right" vertical="center"/>
    </xf>
    <xf numFmtId="177" fontId="46" fillId="36" borderId="163" xfId="0" applyNumberFormat="1" applyFont="1" applyFill="1" applyBorder="1" applyAlignment="1">
      <alignment horizontal="right" vertical="center"/>
    </xf>
    <xf numFmtId="185" fontId="46" fillId="36" borderId="163" xfId="0" applyNumberFormat="1" applyFont="1" applyFill="1" applyBorder="1" applyAlignment="1">
      <alignment vertical="center"/>
    </xf>
    <xf numFmtId="2" fontId="23" fillId="0" borderId="0" xfId="0" applyNumberFormat="1" applyFont="1" applyFill="1" applyBorder="1" applyAlignment="1">
      <alignment vertical="center"/>
    </xf>
    <xf numFmtId="4" fontId="18" fillId="0" borderId="100" xfId="0" applyNumberFormat="1" applyFont="1" applyFill="1" applyBorder="1" applyAlignment="1">
      <alignment horizontal="left" vertical="center"/>
    </xf>
    <xf numFmtId="4" fontId="18" fillId="0" borderId="64" xfId="0" applyNumberFormat="1" applyFont="1" applyFill="1" applyBorder="1" applyAlignment="1">
      <alignment horizontal="right" vertical="center"/>
    </xf>
    <xf numFmtId="176" fontId="6" fillId="35" borderId="263" xfId="0" applyNumberFormat="1" applyFont="1" applyFill="1" applyBorder="1" applyAlignment="1">
      <alignment horizontal="center" vertical="center"/>
    </xf>
    <xf numFmtId="176" fontId="6" fillId="35" borderId="35" xfId="0" applyNumberFormat="1" applyFont="1" applyFill="1" applyBorder="1" applyAlignment="1">
      <alignment horizontal="center" vertical="center"/>
    </xf>
    <xf numFmtId="176" fontId="6" fillId="35" borderId="39" xfId="0" applyNumberFormat="1" applyFont="1" applyFill="1" applyBorder="1" applyAlignment="1">
      <alignment horizontal="center" vertical="center"/>
    </xf>
    <xf numFmtId="177" fontId="4" fillId="36" borderId="13" xfId="0" applyNumberFormat="1" applyFont="1" applyFill="1" applyBorder="1" applyAlignment="1">
      <alignment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23" fillId="36" borderId="162" xfId="37" applyFont="1" applyFill="1" applyBorder="1" applyAlignment="1" applyProtection="1">
      <alignment horizontal="left" vertical="center"/>
      <protection/>
    </xf>
    <xf numFmtId="177" fontId="23" fillId="36" borderId="334" xfId="0" applyNumberFormat="1" applyFont="1" applyFill="1" applyBorder="1" applyAlignment="1">
      <alignment horizontal="right" vertical="center" wrapText="1"/>
    </xf>
    <xf numFmtId="177" fontId="23" fillId="36" borderId="163" xfId="0" applyNumberFormat="1" applyFont="1" applyFill="1" applyBorder="1" applyAlignment="1">
      <alignment horizontal="right" vertical="center" wrapText="1"/>
    </xf>
    <xf numFmtId="185" fontId="24" fillId="36" borderId="163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center" vertical="center"/>
    </xf>
    <xf numFmtId="176" fontId="6" fillId="0" borderId="128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right" vertical="center" wrapText="1"/>
    </xf>
    <xf numFmtId="177" fontId="4" fillId="0" borderId="35" xfId="0" applyNumberFormat="1" applyFont="1" applyFill="1" applyBorder="1" applyAlignment="1">
      <alignment vertical="center"/>
    </xf>
    <xf numFmtId="185" fontId="11" fillId="0" borderId="335" xfId="0" applyNumberFormat="1" applyFont="1" applyFill="1" applyBorder="1" applyAlignment="1">
      <alignment vertical="center"/>
    </xf>
    <xf numFmtId="177" fontId="11" fillId="0" borderId="19" xfId="0" applyNumberFormat="1" applyFont="1" applyFill="1" applyBorder="1" applyAlignment="1">
      <alignment vertical="center"/>
    </xf>
    <xf numFmtId="177" fontId="11" fillId="0" borderId="72" xfId="0" applyNumberFormat="1" applyFont="1" applyFill="1" applyBorder="1" applyAlignment="1">
      <alignment vertical="center"/>
    </xf>
    <xf numFmtId="177" fontId="11" fillId="0" borderId="50" xfId="0" applyNumberFormat="1" applyFont="1" applyFill="1" applyBorder="1" applyAlignment="1">
      <alignment vertical="center"/>
    </xf>
    <xf numFmtId="185" fontId="11" fillId="0" borderId="52" xfId="0" applyNumberFormat="1" applyFont="1" applyFill="1" applyBorder="1" applyAlignment="1">
      <alignment vertical="center"/>
    </xf>
    <xf numFmtId="177" fontId="11" fillId="0" borderId="62" xfId="0" applyNumberFormat="1" applyFont="1" applyFill="1" applyBorder="1" applyAlignment="1">
      <alignment vertical="center"/>
    </xf>
    <xf numFmtId="177" fontId="11" fillId="0" borderId="47" xfId="0" applyNumberFormat="1" applyFont="1" applyFill="1" applyBorder="1" applyAlignment="1">
      <alignment vertical="center"/>
    </xf>
    <xf numFmtId="177" fontId="11" fillId="0" borderId="31" xfId="0" applyNumberFormat="1" applyFont="1" applyFill="1" applyBorder="1" applyAlignment="1">
      <alignment vertical="center"/>
    </xf>
    <xf numFmtId="185" fontId="11" fillId="0" borderId="75" xfId="0" applyNumberFormat="1" applyFont="1" applyFill="1" applyBorder="1" applyAlignment="1">
      <alignment vertical="center"/>
    </xf>
    <xf numFmtId="185" fontId="11" fillId="0" borderId="28" xfId="0" applyNumberFormat="1" applyFont="1" applyFill="1" applyBorder="1" applyAlignment="1">
      <alignment vertical="center"/>
    </xf>
    <xf numFmtId="177" fontId="11" fillId="0" borderId="71" xfId="0" applyNumberFormat="1" applyFont="1" applyFill="1" applyBorder="1" applyAlignment="1">
      <alignment vertical="center"/>
    </xf>
    <xf numFmtId="185" fontId="11" fillId="0" borderId="79" xfId="0" applyNumberFormat="1" applyFont="1" applyFill="1" applyBorder="1" applyAlignment="1">
      <alignment vertical="center"/>
    </xf>
    <xf numFmtId="177" fontId="11" fillId="0" borderId="32" xfId="0" applyNumberFormat="1" applyFont="1" applyFill="1" applyBorder="1" applyAlignment="1">
      <alignment vertical="center"/>
    </xf>
    <xf numFmtId="185" fontId="11" fillId="0" borderId="51" xfId="0" applyNumberFormat="1" applyFont="1" applyFill="1" applyBorder="1" applyAlignment="1">
      <alignment vertical="center"/>
    </xf>
    <xf numFmtId="177" fontId="11" fillId="0" borderId="28" xfId="0" applyNumberFormat="1" applyFont="1" applyFill="1" applyBorder="1" applyAlignment="1">
      <alignment vertical="center"/>
    </xf>
    <xf numFmtId="177" fontId="11" fillId="0" borderId="83" xfId="0" applyNumberFormat="1" applyFont="1" applyFill="1" applyBorder="1" applyAlignment="1">
      <alignment vertical="center"/>
    </xf>
    <xf numFmtId="185" fontId="11" fillId="0" borderId="33" xfId="0" applyNumberFormat="1" applyFont="1" applyFill="1" applyBorder="1" applyAlignment="1">
      <alignment vertical="center"/>
    </xf>
    <xf numFmtId="176" fontId="11" fillId="0" borderId="30" xfId="0" applyNumberFormat="1" applyFont="1" applyFill="1" applyBorder="1" applyAlignment="1">
      <alignment vertical="center"/>
    </xf>
    <xf numFmtId="185" fontId="11" fillId="0" borderId="79" xfId="0" applyNumberFormat="1" applyFont="1" applyFill="1" applyBorder="1" applyAlignment="1">
      <alignment vertical="center"/>
    </xf>
    <xf numFmtId="177" fontId="11" fillId="0" borderId="114" xfId="0" applyNumberFormat="1" applyFont="1" applyFill="1" applyBorder="1" applyAlignment="1">
      <alignment vertical="center"/>
    </xf>
    <xf numFmtId="177" fontId="11" fillId="0" borderId="115" xfId="0" applyNumberFormat="1" applyFont="1" applyFill="1" applyBorder="1" applyAlignment="1">
      <alignment vertical="center"/>
    </xf>
    <xf numFmtId="177" fontId="11" fillId="0" borderId="78" xfId="0" applyNumberFormat="1" applyFont="1" applyFill="1" applyBorder="1" applyAlignment="1">
      <alignment vertical="center"/>
    </xf>
    <xf numFmtId="176" fontId="11" fillId="0" borderId="91" xfId="0" applyNumberFormat="1" applyFont="1" applyFill="1" applyBorder="1" applyAlignment="1">
      <alignment vertical="center"/>
    </xf>
    <xf numFmtId="177" fontId="11" fillId="0" borderId="65" xfId="0" applyNumberFormat="1" applyFont="1" applyFill="1" applyBorder="1" applyAlignment="1">
      <alignment vertical="center"/>
    </xf>
    <xf numFmtId="185" fontId="11" fillId="0" borderId="66" xfId="0" applyNumberFormat="1" applyFont="1" applyFill="1" applyBorder="1" applyAlignment="1">
      <alignment vertical="center"/>
    </xf>
    <xf numFmtId="177" fontId="11" fillId="0" borderId="42" xfId="0" applyNumberFormat="1" applyFont="1" applyFill="1" applyBorder="1" applyAlignment="1">
      <alignment vertical="center"/>
    </xf>
    <xf numFmtId="185" fontId="11" fillId="0" borderId="186" xfId="0" applyNumberFormat="1" applyFont="1" applyFill="1" applyBorder="1" applyAlignment="1">
      <alignment vertical="center"/>
    </xf>
    <xf numFmtId="176" fontId="11" fillId="0" borderId="179" xfId="0" applyNumberFormat="1" applyFont="1" applyFill="1" applyBorder="1" applyAlignment="1">
      <alignment vertical="center"/>
    </xf>
    <xf numFmtId="177" fontId="11" fillId="0" borderId="181" xfId="0" applyNumberFormat="1" applyFont="1" applyFill="1" applyBorder="1" applyAlignment="1">
      <alignment vertical="center"/>
    </xf>
    <xf numFmtId="177" fontId="11" fillId="0" borderId="182" xfId="0" applyNumberFormat="1" applyFont="1" applyFill="1" applyBorder="1" applyAlignment="1">
      <alignment vertical="center"/>
    </xf>
    <xf numFmtId="177" fontId="11" fillId="0" borderId="183" xfId="0" applyNumberFormat="1" applyFont="1" applyFill="1" applyBorder="1" applyAlignment="1">
      <alignment vertical="center"/>
    </xf>
    <xf numFmtId="185" fontId="11" fillId="0" borderId="184" xfId="0" applyNumberFormat="1" applyFont="1" applyFill="1" applyBorder="1" applyAlignment="1">
      <alignment vertical="center"/>
    </xf>
    <xf numFmtId="177" fontId="11" fillId="0" borderId="185" xfId="0" applyNumberFormat="1" applyFont="1" applyFill="1" applyBorder="1" applyAlignment="1">
      <alignment vertical="center"/>
    </xf>
    <xf numFmtId="176" fontId="11" fillId="0" borderId="177" xfId="0" applyNumberFormat="1" applyFont="1" applyFill="1" applyBorder="1" applyAlignment="1">
      <alignment vertical="center"/>
    </xf>
    <xf numFmtId="185" fontId="4" fillId="0" borderId="40" xfId="0" applyNumberFormat="1" applyFont="1" applyFill="1" applyBorder="1" applyAlignment="1">
      <alignment vertical="center"/>
    </xf>
    <xf numFmtId="185" fontId="4" fillId="0" borderId="111" xfId="0" applyNumberFormat="1" applyFont="1" applyFill="1" applyBorder="1" applyAlignment="1">
      <alignment vertical="center"/>
    </xf>
    <xf numFmtId="177" fontId="11" fillId="0" borderId="336" xfId="0" applyNumberFormat="1" applyFont="1" applyFill="1" applyBorder="1" applyAlignment="1">
      <alignment vertical="center"/>
    </xf>
    <xf numFmtId="177" fontId="11" fillId="0" borderId="175" xfId="0" applyNumberFormat="1" applyFont="1" applyFill="1" applyBorder="1" applyAlignment="1">
      <alignment vertical="center"/>
    </xf>
    <xf numFmtId="185" fontId="11" fillId="0" borderId="337" xfId="0" applyNumberFormat="1" applyFont="1" applyFill="1" applyBorder="1" applyAlignment="1">
      <alignment vertical="center"/>
    </xf>
    <xf numFmtId="177" fontId="11" fillId="0" borderId="46" xfId="0" applyNumberFormat="1" applyFont="1" applyFill="1" applyBorder="1" applyAlignment="1">
      <alignment vertical="center"/>
    </xf>
    <xf numFmtId="185" fontId="11" fillId="0" borderId="338" xfId="0" applyNumberFormat="1" applyFont="1" applyFill="1" applyBorder="1" applyAlignment="1">
      <alignment vertical="center"/>
    </xf>
    <xf numFmtId="177" fontId="11" fillId="0" borderId="109" xfId="0" applyNumberFormat="1" applyFont="1" applyFill="1" applyBorder="1" applyAlignment="1">
      <alignment vertical="center"/>
    </xf>
    <xf numFmtId="185" fontId="11" fillId="0" borderId="339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101" xfId="0" applyNumberFormat="1" applyFont="1" applyFill="1" applyBorder="1" applyAlignment="1">
      <alignment vertical="center"/>
    </xf>
    <xf numFmtId="177" fontId="4" fillId="0" borderId="60" xfId="0" applyNumberFormat="1" applyFont="1" applyFill="1" applyBorder="1" applyAlignment="1">
      <alignment vertical="center"/>
    </xf>
    <xf numFmtId="177" fontId="4" fillId="0" borderId="177" xfId="0" applyNumberFormat="1" applyFont="1" applyFill="1" applyBorder="1" applyAlignment="1">
      <alignment vertical="center"/>
    </xf>
    <xf numFmtId="185" fontId="4" fillId="0" borderId="340" xfId="0" applyNumberFormat="1" applyFont="1" applyFill="1" applyBorder="1" applyAlignment="1">
      <alignment vertical="center"/>
    </xf>
    <xf numFmtId="185" fontId="4" fillId="0" borderId="11" xfId="0" applyNumberFormat="1" applyFont="1" applyFill="1" applyBorder="1" applyAlignment="1">
      <alignment vertical="center"/>
    </xf>
    <xf numFmtId="4" fontId="18" fillId="0" borderId="156" xfId="0" applyNumberFormat="1" applyFont="1" applyFill="1" applyBorder="1" applyAlignment="1">
      <alignment horizontal="right" vertical="center"/>
    </xf>
    <xf numFmtId="4" fontId="18" fillId="0" borderId="157" xfId="0" applyNumberFormat="1" applyFont="1" applyFill="1" applyBorder="1" applyAlignment="1">
      <alignment horizontal="right" vertical="center"/>
    </xf>
    <xf numFmtId="0" fontId="23" fillId="36" borderId="162" xfId="0" applyFont="1" applyFill="1" applyBorder="1" applyAlignment="1">
      <alignment vertical="center" wrapText="1"/>
    </xf>
    <xf numFmtId="4" fontId="23" fillId="36" borderId="341" xfId="0" applyNumberFormat="1" applyFont="1" applyFill="1" applyBorder="1" applyAlignment="1">
      <alignment vertical="center"/>
    </xf>
    <xf numFmtId="0" fontId="46" fillId="35" borderId="18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176" fontId="12" fillId="35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6" fillId="35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 wrapText="1"/>
    </xf>
    <xf numFmtId="0" fontId="46" fillId="35" borderId="34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177" fontId="45" fillId="0" borderId="343" xfId="0" applyNumberFormat="1" applyFont="1" applyBorder="1" applyAlignment="1">
      <alignment vertical="center"/>
    </xf>
    <xf numFmtId="177" fontId="45" fillId="0" borderId="30" xfId="0" applyNumberFormat="1" applyFont="1" applyBorder="1" applyAlignment="1">
      <alignment vertical="center"/>
    </xf>
    <xf numFmtId="177" fontId="45" fillId="0" borderId="222" xfId="0" applyNumberFormat="1" applyFont="1" applyFill="1" applyBorder="1" applyAlignment="1">
      <alignment vertical="center"/>
    </xf>
    <xf numFmtId="185" fontId="45" fillId="0" borderId="344" xfId="0" applyNumberFormat="1" applyFont="1" applyFill="1" applyBorder="1" applyAlignment="1">
      <alignment vertical="center"/>
    </xf>
    <xf numFmtId="177" fontId="45" fillId="0" borderId="343" xfId="0" applyNumberFormat="1" applyFont="1" applyFill="1" applyBorder="1" applyAlignment="1">
      <alignment vertical="center"/>
    </xf>
    <xf numFmtId="0" fontId="45" fillId="0" borderId="345" xfId="0" applyFont="1" applyFill="1" applyBorder="1" applyAlignment="1">
      <alignment horizontal="center" vertical="center"/>
    </xf>
    <xf numFmtId="0" fontId="45" fillId="0" borderId="209" xfId="0" applyFont="1" applyBorder="1" applyAlignment="1">
      <alignment vertical="center"/>
    </xf>
    <xf numFmtId="177" fontId="45" fillId="0" borderId="209" xfId="0" applyNumberFormat="1" applyFont="1" applyBorder="1" applyAlignment="1">
      <alignment vertical="center"/>
    </xf>
    <xf numFmtId="185" fontId="45" fillId="0" borderId="346" xfId="0" applyNumberFormat="1" applyFont="1" applyFill="1" applyBorder="1" applyAlignment="1">
      <alignment vertical="center"/>
    </xf>
    <xf numFmtId="0" fontId="45" fillId="0" borderId="347" xfId="0" applyFont="1" applyFill="1" applyBorder="1" applyAlignment="1">
      <alignment horizontal="center" vertical="center"/>
    </xf>
    <xf numFmtId="0" fontId="46" fillId="0" borderId="99" xfId="0" applyFont="1" applyFill="1" applyBorder="1" applyAlignment="1">
      <alignment vertical="center"/>
    </xf>
    <xf numFmtId="177" fontId="46" fillId="0" borderId="99" xfId="0" applyNumberFormat="1" applyFont="1" applyFill="1" applyBorder="1" applyAlignment="1">
      <alignment vertical="center"/>
    </xf>
    <xf numFmtId="185" fontId="46" fillId="0" borderId="348" xfId="0" applyNumberFormat="1" applyFont="1" applyFill="1" applyBorder="1" applyAlignment="1">
      <alignment vertical="center"/>
    </xf>
    <xf numFmtId="177" fontId="45" fillId="0" borderId="344" xfId="0" applyNumberFormat="1" applyFont="1" applyBorder="1" applyAlignment="1">
      <alignment vertical="center"/>
    </xf>
    <xf numFmtId="177" fontId="45" fillId="0" borderId="338" xfId="0" applyNumberFormat="1" applyFont="1" applyBorder="1" applyAlignment="1">
      <alignment vertical="center"/>
    </xf>
    <xf numFmtId="177" fontId="45" fillId="0" borderId="338" xfId="0" applyNumberFormat="1" applyFont="1" applyFill="1" applyBorder="1" applyAlignment="1">
      <alignment vertical="center"/>
    </xf>
    <xf numFmtId="0" fontId="45" fillId="0" borderId="41" xfId="0" applyFont="1" applyBorder="1" applyAlignment="1">
      <alignment vertical="center"/>
    </xf>
    <xf numFmtId="177" fontId="45" fillId="0" borderId="230" xfId="0" applyNumberFormat="1" applyFont="1" applyFill="1" applyBorder="1" applyAlignment="1">
      <alignment vertical="center"/>
    </xf>
    <xf numFmtId="177" fontId="45" fillId="0" borderId="349" xfId="0" applyNumberFormat="1" applyFont="1" applyFill="1" applyBorder="1" applyAlignment="1">
      <alignment vertical="center"/>
    </xf>
    <xf numFmtId="0" fontId="46" fillId="0" borderId="163" xfId="0" applyFont="1" applyFill="1" applyBorder="1" applyAlignment="1">
      <alignment vertical="center"/>
    </xf>
    <xf numFmtId="177" fontId="46" fillId="0" borderId="163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5" fillId="0" borderId="350" xfId="0" applyFont="1" applyFill="1" applyBorder="1" applyAlignment="1">
      <alignment horizontal="center" vertical="center"/>
    </xf>
    <xf numFmtId="177" fontId="45" fillId="0" borderId="351" xfId="0" applyNumberFormat="1" applyFont="1" applyBorder="1" applyAlignment="1">
      <alignment vertical="center"/>
    </xf>
    <xf numFmtId="177" fontId="45" fillId="0" borderId="339" xfId="0" applyNumberFormat="1" applyFont="1" applyBorder="1" applyAlignment="1">
      <alignment vertical="center"/>
    </xf>
    <xf numFmtId="185" fontId="45" fillId="0" borderId="352" xfId="0" applyNumberFormat="1" applyFont="1" applyFill="1" applyBorder="1" applyAlignment="1">
      <alignment vertical="center"/>
    </xf>
    <xf numFmtId="0" fontId="45" fillId="0" borderId="353" xfId="0" applyFont="1" applyFill="1" applyBorder="1" applyAlignment="1">
      <alignment horizontal="center" vertical="center"/>
    </xf>
    <xf numFmtId="0" fontId="45" fillId="0" borderId="354" xfId="0" applyFont="1" applyFill="1" applyBorder="1" applyAlignment="1">
      <alignment vertical="center"/>
    </xf>
    <xf numFmtId="0" fontId="45" fillId="0" borderId="209" xfId="0" applyFont="1" applyFill="1" applyBorder="1" applyAlignment="1">
      <alignment vertical="center"/>
    </xf>
    <xf numFmtId="0" fontId="45" fillId="0" borderId="355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vertical="center"/>
    </xf>
    <xf numFmtId="177" fontId="45" fillId="0" borderId="170" xfId="0" applyNumberFormat="1" applyFont="1" applyFill="1" applyBorder="1" applyAlignment="1">
      <alignment vertical="center"/>
    </xf>
    <xf numFmtId="177" fontId="45" fillId="0" borderId="339" xfId="0" applyNumberFormat="1" applyFont="1" applyFill="1" applyBorder="1" applyAlignment="1">
      <alignment vertical="center"/>
    </xf>
    <xf numFmtId="0" fontId="45" fillId="0" borderId="356" xfId="0" applyFont="1" applyFill="1" applyBorder="1" applyAlignment="1">
      <alignment horizontal="center" vertical="center"/>
    </xf>
    <xf numFmtId="0" fontId="46" fillId="0" borderId="357" xfId="0" applyFont="1" applyFill="1" applyBorder="1" applyAlignment="1">
      <alignment vertical="center"/>
    </xf>
    <xf numFmtId="177" fontId="46" fillId="0" borderId="358" xfId="0" applyNumberFormat="1" applyFont="1" applyFill="1" applyBorder="1" applyAlignment="1">
      <alignment vertical="center"/>
    </xf>
    <xf numFmtId="185" fontId="46" fillId="0" borderId="359" xfId="0" applyNumberFormat="1" applyFont="1" applyFill="1" applyBorder="1" applyAlignment="1">
      <alignment vertical="center"/>
    </xf>
    <xf numFmtId="177" fontId="45" fillId="0" borderId="38" xfId="0" applyNumberFormat="1" applyFont="1" applyFill="1" applyBorder="1" applyAlignment="1">
      <alignment vertical="center"/>
    </xf>
    <xf numFmtId="0" fontId="45" fillId="0" borderId="360" xfId="0" applyFont="1" applyBorder="1" applyAlignment="1">
      <alignment vertical="center"/>
    </xf>
    <xf numFmtId="177" fontId="45" fillId="0" borderId="64" xfId="0" applyNumberFormat="1" applyFont="1" applyFill="1" applyBorder="1" applyAlignment="1">
      <alignment vertical="center"/>
    </xf>
    <xf numFmtId="0" fontId="48" fillId="36" borderId="361" xfId="0" applyFont="1" applyFill="1" applyBorder="1" applyAlignment="1">
      <alignment horizontal="center" vertical="center"/>
    </xf>
    <xf numFmtId="0" fontId="46" fillId="36" borderId="151" xfId="0" applyFont="1" applyFill="1" applyBorder="1" applyAlignment="1">
      <alignment vertical="center"/>
    </xf>
    <xf numFmtId="177" fontId="46" fillId="36" borderId="151" xfId="0" applyNumberFormat="1" applyFont="1" applyFill="1" applyBorder="1" applyAlignment="1">
      <alignment vertical="center"/>
    </xf>
    <xf numFmtId="185" fontId="46" fillId="36" borderId="362" xfId="0" applyNumberFormat="1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/>
    </xf>
    <xf numFmtId="177" fontId="46" fillId="0" borderId="0" xfId="0" applyNumberFormat="1" applyFont="1" applyFill="1" applyBorder="1" applyAlignment="1">
      <alignment vertical="center"/>
    </xf>
    <xf numFmtId="177" fontId="48" fillId="0" borderId="0" xfId="0" applyNumberFormat="1" applyFont="1" applyFill="1" applyBorder="1" applyAlignment="1">
      <alignment vertical="center"/>
    </xf>
    <xf numFmtId="177" fontId="48" fillId="0" borderId="0" xfId="0" applyNumberFormat="1" applyFont="1" applyFill="1" applyAlignment="1">
      <alignment vertical="center"/>
    </xf>
    <xf numFmtId="185" fontId="45" fillId="0" borderId="363" xfId="0" applyNumberFormat="1" applyFont="1" applyFill="1" applyBorder="1" applyAlignment="1">
      <alignment vertical="center"/>
    </xf>
    <xf numFmtId="0" fontId="45" fillId="0" borderId="351" xfId="0" applyFont="1" applyBorder="1" applyAlignment="1">
      <alignment vertical="center"/>
    </xf>
    <xf numFmtId="177" fontId="45" fillId="0" borderId="364" xfId="0" applyNumberFormat="1" applyFont="1" applyBorder="1" applyAlignment="1">
      <alignment vertical="center"/>
    </xf>
    <xf numFmtId="177" fontId="45" fillId="0" borderId="262" xfId="0" applyNumberFormat="1" applyFont="1" applyFill="1" applyBorder="1" applyAlignment="1">
      <alignment vertical="center"/>
    </xf>
    <xf numFmtId="177" fontId="45" fillId="0" borderId="352" xfId="0" applyNumberFormat="1" applyFont="1" applyBorder="1" applyAlignment="1">
      <alignment vertical="center"/>
    </xf>
    <xf numFmtId="185" fontId="45" fillId="0" borderId="365" xfId="0" applyNumberFormat="1" applyFont="1" applyFill="1" applyBorder="1" applyAlignment="1">
      <alignment vertical="center"/>
    </xf>
    <xf numFmtId="0" fontId="45" fillId="0" borderId="366" xfId="0" applyFont="1" applyFill="1" applyBorder="1" applyAlignment="1">
      <alignment horizontal="center" vertical="center"/>
    </xf>
    <xf numFmtId="0" fontId="45" fillId="0" borderId="351" xfId="0" applyFont="1" applyFill="1" applyBorder="1" applyAlignment="1">
      <alignment vertical="center"/>
    </xf>
    <xf numFmtId="185" fontId="45" fillId="0" borderId="367" xfId="0" applyNumberFormat="1" applyFont="1" applyFill="1" applyBorder="1" applyAlignment="1">
      <alignment vertical="center"/>
    </xf>
    <xf numFmtId="0" fontId="45" fillId="0" borderId="339" xfId="0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49" fontId="45" fillId="0" borderId="97" xfId="0" applyNumberFormat="1" applyFont="1" applyFill="1" applyBorder="1" applyAlignment="1">
      <alignment vertical="center" wrapText="1"/>
    </xf>
    <xf numFmtId="49" fontId="45" fillId="0" borderId="100" xfId="0" applyNumberFormat="1" applyFont="1" applyFill="1" applyBorder="1" applyAlignment="1">
      <alignment vertical="center" wrapText="1"/>
    </xf>
    <xf numFmtId="177" fontId="45" fillId="0" borderId="368" xfId="0" applyNumberFormat="1" applyFont="1" applyFill="1" applyBorder="1" applyAlignment="1">
      <alignment horizontal="right" vertical="center"/>
    </xf>
    <xf numFmtId="177" fontId="45" fillId="0" borderId="369" xfId="35" applyNumberFormat="1" applyFont="1" applyFill="1" applyBorder="1" applyAlignment="1">
      <alignment horizontal="right" vertical="center"/>
    </xf>
    <xf numFmtId="177" fontId="45" fillId="0" borderId="370" xfId="0" applyNumberFormat="1" applyFont="1" applyFill="1" applyBorder="1" applyAlignment="1">
      <alignment horizontal="right" vertical="center"/>
    </xf>
    <xf numFmtId="177" fontId="45" fillId="0" borderId="371" xfId="0" applyNumberFormat="1" applyFont="1" applyFill="1" applyBorder="1" applyAlignment="1">
      <alignment horizontal="right" vertical="center"/>
    </xf>
    <xf numFmtId="177" fontId="45" fillId="0" borderId="372" xfId="0" applyNumberFormat="1" applyFont="1" applyFill="1" applyBorder="1" applyAlignment="1">
      <alignment horizontal="right" vertical="center"/>
    </xf>
    <xf numFmtId="177" fontId="45" fillId="0" borderId="373" xfId="0" applyNumberFormat="1" applyFont="1" applyFill="1" applyBorder="1" applyAlignment="1">
      <alignment horizontal="right" vertical="center"/>
    </xf>
    <xf numFmtId="177" fontId="45" fillId="0" borderId="329" xfId="0" applyNumberFormat="1" applyFont="1" applyFill="1" applyBorder="1" applyAlignment="1">
      <alignment horizontal="right" vertical="center"/>
    </xf>
    <xf numFmtId="177" fontId="45" fillId="0" borderId="374" xfId="0" applyNumberFormat="1" applyFont="1" applyFill="1" applyBorder="1" applyAlignment="1">
      <alignment horizontal="right" vertical="center"/>
    </xf>
    <xf numFmtId="177" fontId="45" fillId="0" borderId="375" xfId="0" applyNumberFormat="1" applyFont="1" applyFill="1" applyBorder="1" applyAlignment="1">
      <alignment horizontal="right" vertical="center"/>
    </xf>
    <xf numFmtId="177" fontId="45" fillId="0" borderId="376" xfId="0" applyNumberFormat="1" applyFont="1" applyFill="1" applyBorder="1" applyAlignment="1">
      <alignment horizontal="right" vertical="center"/>
    </xf>
    <xf numFmtId="177" fontId="45" fillId="0" borderId="377" xfId="0" applyNumberFormat="1" applyFont="1" applyFill="1" applyBorder="1" applyAlignment="1">
      <alignment horizontal="right" vertical="center"/>
    </xf>
    <xf numFmtId="177" fontId="45" fillId="0" borderId="378" xfId="0" applyNumberFormat="1" applyFont="1" applyFill="1" applyBorder="1" applyAlignment="1">
      <alignment horizontal="right" vertical="center"/>
    </xf>
    <xf numFmtId="177" fontId="45" fillId="0" borderId="369" xfId="0" applyNumberFormat="1" applyFont="1" applyFill="1" applyBorder="1" applyAlignment="1">
      <alignment horizontal="right" vertical="center"/>
    </xf>
    <xf numFmtId="177" fontId="45" fillId="0" borderId="379" xfId="0" applyNumberFormat="1" applyFont="1" applyFill="1" applyBorder="1" applyAlignment="1">
      <alignment horizontal="right" vertical="center"/>
    </xf>
    <xf numFmtId="177" fontId="45" fillId="0" borderId="380" xfId="35" applyNumberFormat="1" applyFont="1" applyFill="1" applyBorder="1" applyAlignment="1">
      <alignment horizontal="right" vertical="center"/>
    </xf>
    <xf numFmtId="177" fontId="45" fillId="0" borderId="381" xfId="0" applyNumberFormat="1" applyFont="1" applyFill="1" applyBorder="1" applyAlignment="1">
      <alignment horizontal="right" vertical="center"/>
    </xf>
    <xf numFmtId="177" fontId="45" fillId="0" borderId="243" xfId="0" applyNumberFormat="1" applyFont="1" applyFill="1" applyBorder="1" applyAlignment="1">
      <alignment horizontal="right" vertical="center"/>
    </xf>
    <xf numFmtId="177" fontId="45" fillId="0" borderId="270" xfId="49" applyNumberFormat="1" applyFont="1" applyFill="1" applyBorder="1" applyAlignment="1">
      <alignment horizontal="right" vertical="center"/>
      <protection/>
    </xf>
    <xf numFmtId="177" fontId="45" fillId="0" borderId="382" xfId="49" applyNumberFormat="1" applyFont="1" applyFill="1" applyBorder="1" applyAlignment="1">
      <alignment horizontal="right" vertical="center"/>
      <protection/>
    </xf>
    <xf numFmtId="177" fontId="45" fillId="0" borderId="383" xfId="49" applyNumberFormat="1" applyFont="1" applyFill="1" applyBorder="1" applyAlignment="1">
      <alignment horizontal="right" vertical="center"/>
      <protection/>
    </xf>
    <xf numFmtId="177" fontId="45" fillId="0" borderId="384" xfId="49" applyNumberFormat="1" applyFont="1" applyFill="1" applyBorder="1" applyAlignment="1">
      <alignment horizontal="right" vertical="center"/>
      <protection/>
    </xf>
    <xf numFmtId="177" fontId="45" fillId="0" borderId="385" xfId="49" applyNumberFormat="1" applyFont="1" applyFill="1" applyBorder="1" applyAlignment="1">
      <alignment horizontal="right" vertical="center"/>
      <protection/>
    </xf>
    <xf numFmtId="177" fontId="45" fillId="0" borderId="257" xfId="49" applyNumberFormat="1" applyFont="1" applyFill="1" applyBorder="1" applyAlignment="1">
      <alignment horizontal="right" vertical="center"/>
      <protection/>
    </xf>
    <xf numFmtId="177" fontId="45" fillId="0" borderId="386" xfId="49" applyNumberFormat="1" applyFont="1" applyFill="1" applyBorder="1" applyAlignment="1">
      <alignment horizontal="right" vertical="center"/>
      <protection/>
    </xf>
    <xf numFmtId="177" fontId="45" fillId="0" borderId="247" xfId="49" applyNumberFormat="1" applyFont="1" applyFill="1" applyBorder="1" applyAlignment="1">
      <alignment horizontal="right" vertical="center"/>
      <protection/>
    </xf>
    <xf numFmtId="177" fontId="45" fillId="0" borderId="260" xfId="49" applyNumberFormat="1" applyFont="1" applyFill="1" applyBorder="1" applyAlignment="1">
      <alignment horizontal="right" vertical="center"/>
      <protection/>
    </xf>
    <xf numFmtId="177" fontId="45" fillId="0" borderId="231" xfId="49" applyNumberFormat="1" applyFont="1" applyFill="1" applyBorder="1" applyAlignment="1">
      <alignment horizontal="right" vertical="center"/>
      <protection/>
    </xf>
    <xf numFmtId="177" fontId="45" fillId="0" borderId="250" xfId="49" applyNumberFormat="1" applyFont="1" applyFill="1" applyBorder="1" applyAlignment="1">
      <alignment horizontal="right" vertical="center"/>
      <protection/>
    </xf>
    <xf numFmtId="177" fontId="45" fillId="0" borderId="387" xfId="0" applyNumberFormat="1" applyFont="1" applyFill="1" applyBorder="1" applyAlignment="1">
      <alignment horizontal="right" vertical="center"/>
    </xf>
    <xf numFmtId="177" fontId="45" fillId="0" borderId="381" xfId="35" applyNumberFormat="1" applyFont="1" applyFill="1" applyBorder="1" applyAlignment="1">
      <alignment horizontal="right" vertical="center"/>
    </xf>
    <xf numFmtId="177" fontId="45" fillId="0" borderId="388" xfId="0" applyNumberFormat="1" applyFont="1" applyFill="1" applyBorder="1" applyAlignment="1">
      <alignment horizontal="right" vertical="center"/>
    </xf>
    <xf numFmtId="177" fontId="45" fillId="0" borderId="389" xfId="0" applyNumberFormat="1" applyFont="1" applyFill="1" applyBorder="1" applyAlignment="1">
      <alignment horizontal="right" vertical="center"/>
    </xf>
    <xf numFmtId="177" fontId="45" fillId="0" borderId="242" xfId="0" applyNumberFormat="1" applyFont="1" applyFill="1" applyBorder="1" applyAlignment="1">
      <alignment horizontal="right" vertical="center"/>
    </xf>
    <xf numFmtId="177" fontId="45" fillId="0" borderId="390" xfId="0" applyNumberFormat="1" applyFont="1" applyFill="1" applyBorder="1" applyAlignment="1">
      <alignment horizontal="right" vertical="center"/>
    </xf>
    <xf numFmtId="177" fontId="45" fillId="0" borderId="64" xfId="0" applyNumberFormat="1" applyFont="1" applyFill="1" applyBorder="1" applyAlignment="1">
      <alignment horizontal="right" vertical="center"/>
    </xf>
    <xf numFmtId="177" fontId="45" fillId="0" borderId="21" xfId="0" applyNumberFormat="1" applyFont="1" applyFill="1" applyBorder="1" applyAlignment="1">
      <alignment horizontal="right" vertical="center"/>
    </xf>
    <xf numFmtId="177" fontId="45" fillId="0" borderId="303" xfId="35" applyNumberFormat="1" applyFont="1" applyFill="1" applyBorder="1" applyAlignment="1">
      <alignment horizontal="right" vertical="center"/>
    </xf>
    <xf numFmtId="177" fontId="45" fillId="0" borderId="294" xfId="35" applyNumberFormat="1" applyFont="1" applyFill="1" applyBorder="1" applyAlignment="1">
      <alignment horizontal="right" vertical="center"/>
    </xf>
    <xf numFmtId="177" fontId="45" fillId="0" borderId="391" xfId="0" applyNumberFormat="1" applyFont="1" applyFill="1" applyBorder="1" applyAlignment="1">
      <alignment horizontal="right" vertical="center"/>
    </xf>
    <xf numFmtId="177" fontId="45" fillId="0" borderId="374" xfId="35" applyNumberFormat="1" applyFont="1" applyFill="1" applyBorder="1" applyAlignment="1">
      <alignment horizontal="right" vertical="center"/>
    </xf>
    <xf numFmtId="177" fontId="46" fillId="0" borderId="11" xfId="0" applyNumberFormat="1" applyFont="1" applyFill="1" applyBorder="1" applyAlignment="1">
      <alignment vertical="center"/>
    </xf>
    <xf numFmtId="177" fontId="46" fillId="0" borderId="13" xfId="0" applyNumberFormat="1" applyFont="1" applyFill="1" applyBorder="1" applyAlignment="1">
      <alignment vertical="center"/>
    </xf>
    <xf numFmtId="177" fontId="46" fillId="0" borderId="392" xfId="0" applyNumberFormat="1" applyFont="1" applyFill="1" applyBorder="1" applyAlignment="1">
      <alignment horizontal="right" vertical="center"/>
    </xf>
    <xf numFmtId="177" fontId="45" fillId="0" borderId="393" xfId="0" applyNumberFormat="1" applyFont="1" applyFill="1" applyBorder="1" applyAlignment="1">
      <alignment horizontal="right" vertical="center"/>
    </xf>
    <xf numFmtId="177" fontId="45" fillId="0" borderId="297" xfId="0" applyNumberFormat="1" applyFont="1" applyFill="1" applyBorder="1" applyAlignment="1">
      <alignment horizontal="right" vertical="center"/>
    </xf>
    <xf numFmtId="177" fontId="45" fillId="0" borderId="214" xfId="0" applyNumberFormat="1" applyFont="1" applyFill="1" applyBorder="1" applyAlignment="1">
      <alignment horizontal="right" vertical="center"/>
    </xf>
    <xf numFmtId="177" fontId="45" fillId="0" borderId="394" xfId="0" applyNumberFormat="1" applyFont="1" applyFill="1" applyBorder="1" applyAlignment="1">
      <alignment horizontal="right" vertical="center"/>
    </xf>
    <xf numFmtId="177" fontId="45" fillId="0" borderId="0" xfId="0" applyNumberFormat="1" applyFont="1" applyFill="1" applyBorder="1" applyAlignment="1">
      <alignment horizontal="right" vertical="center"/>
    </xf>
    <xf numFmtId="177" fontId="45" fillId="0" borderId="395" xfId="0" applyNumberFormat="1" applyFont="1" applyFill="1" applyBorder="1" applyAlignment="1">
      <alignment horizontal="right" vertical="center"/>
    </xf>
    <xf numFmtId="177" fontId="45" fillId="0" borderId="396" xfId="0" applyNumberFormat="1" applyFont="1" applyFill="1" applyBorder="1" applyAlignment="1">
      <alignment horizontal="right" vertical="center"/>
    </xf>
    <xf numFmtId="177" fontId="45" fillId="0" borderId="397" xfId="0" applyNumberFormat="1" applyFont="1" applyFill="1" applyBorder="1" applyAlignment="1">
      <alignment horizontal="right" vertical="center"/>
    </xf>
    <xf numFmtId="177" fontId="45" fillId="0" borderId="398" xfId="0" applyNumberFormat="1" applyFont="1" applyFill="1" applyBorder="1" applyAlignment="1">
      <alignment horizontal="right" vertical="center"/>
    </xf>
    <xf numFmtId="177" fontId="45" fillId="0" borderId="399" xfId="0" applyNumberFormat="1" applyFont="1" applyFill="1" applyBorder="1" applyAlignment="1">
      <alignment horizontal="right" vertical="center"/>
    </xf>
    <xf numFmtId="177" fontId="45" fillId="0" borderId="400" xfId="0" applyNumberFormat="1" applyFont="1" applyFill="1" applyBorder="1" applyAlignment="1">
      <alignment horizontal="right" vertical="center"/>
    </xf>
    <xf numFmtId="177" fontId="45" fillId="0" borderId="401" xfId="0" applyNumberFormat="1" applyFont="1" applyFill="1" applyBorder="1" applyAlignment="1">
      <alignment horizontal="right" vertical="center"/>
    </xf>
    <xf numFmtId="177" fontId="45" fillId="0" borderId="402" xfId="0" applyNumberFormat="1" applyFont="1" applyFill="1" applyBorder="1" applyAlignment="1">
      <alignment horizontal="right" vertical="center"/>
    </xf>
    <xf numFmtId="177" fontId="45" fillId="0" borderId="253" xfId="0" applyNumberFormat="1" applyFont="1" applyFill="1" applyBorder="1" applyAlignment="1">
      <alignment vertical="center"/>
    </xf>
    <xf numFmtId="177" fontId="45" fillId="0" borderId="403" xfId="35" applyNumberFormat="1" applyFont="1" applyFill="1" applyBorder="1" applyAlignment="1">
      <alignment horizontal="right" vertical="center"/>
    </xf>
    <xf numFmtId="177" fontId="45" fillId="0" borderId="373" xfId="35" applyNumberFormat="1" applyFont="1" applyFill="1" applyBorder="1" applyAlignment="1">
      <alignment horizontal="right" vertical="center"/>
    </xf>
    <xf numFmtId="177" fontId="45" fillId="0" borderId="404" xfId="35" applyNumberFormat="1" applyFont="1" applyFill="1" applyBorder="1" applyAlignment="1">
      <alignment horizontal="right" vertical="center"/>
    </xf>
    <xf numFmtId="177" fontId="45" fillId="0" borderId="405" xfId="35" applyNumberFormat="1" applyFont="1" applyFill="1" applyBorder="1" applyAlignment="1">
      <alignment horizontal="right" vertical="center"/>
    </xf>
    <xf numFmtId="177" fontId="45" fillId="0" borderId="282" xfId="0" applyNumberFormat="1" applyFont="1" applyFill="1" applyBorder="1" applyAlignment="1">
      <alignment horizontal="right" vertical="center"/>
    </xf>
    <xf numFmtId="185" fontId="45" fillId="0" borderId="303" xfId="0" applyNumberFormat="1" applyFont="1" applyFill="1" applyBorder="1" applyAlignment="1">
      <alignment vertical="center"/>
    </xf>
    <xf numFmtId="185" fontId="45" fillId="0" borderId="253" xfId="0" applyNumberFormat="1" applyFont="1" applyFill="1" applyBorder="1" applyAlignment="1">
      <alignment vertical="center"/>
    </xf>
    <xf numFmtId="177" fontId="45" fillId="0" borderId="274" xfId="35" applyNumberFormat="1" applyFont="1" applyFill="1" applyBorder="1" applyAlignment="1">
      <alignment horizontal="right" vertical="center"/>
    </xf>
    <xf numFmtId="177" fontId="45" fillId="0" borderId="220" xfId="35" applyNumberFormat="1" applyFont="1" applyFill="1" applyBorder="1" applyAlignment="1">
      <alignment horizontal="right" vertical="center"/>
    </xf>
    <xf numFmtId="177" fontId="45" fillId="0" borderId="406" xfId="0" applyNumberFormat="1" applyFont="1" applyFill="1" applyBorder="1" applyAlignment="1">
      <alignment horizontal="right" vertical="center"/>
    </xf>
    <xf numFmtId="177" fontId="45" fillId="0" borderId="368" xfId="35" applyNumberFormat="1" applyFont="1" applyFill="1" applyBorder="1" applyAlignment="1">
      <alignment horizontal="right" vertical="center"/>
    </xf>
    <xf numFmtId="177" fontId="46" fillId="0" borderId="407" xfId="0" applyNumberFormat="1" applyFont="1" applyFill="1" applyBorder="1" applyAlignment="1">
      <alignment vertical="center"/>
    </xf>
    <xf numFmtId="177" fontId="46" fillId="0" borderId="177" xfId="0" applyNumberFormat="1" applyFont="1" applyFill="1" applyBorder="1" applyAlignment="1">
      <alignment vertical="center"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50" fillId="35" borderId="408" xfId="0" applyFont="1" applyFill="1" applyBorder="1" applyAlignment="1">
      <alignment horizontal="center" vertical="center" wrapText="1"/>
    </xf>
    <xf numFmtId="0" fontId="50" fillId="35" borderId="409" xfId="0" applyFont="1" applyFill="1" applyBorder="1" applyAlignment="1">
      <alignment horizontal="center" vertical="center"/>
    </xf>
    <xf numFmtId="0" fontId="50" fillId="35" borderId="410" xfId="0" applyFont="1" applyFill="1" applyBorder="1" applyAlignment="1">
      <alignment horizontal="center" vertical="center"/>
    </xf>
    <xf numFmtId="3" fontId="50" fillId="35" borderId="409" xfId="0" applyNumberFormat="1" applyFont="1" applyFill="1" applyBorder="1" applyAlignment="1">
      <alignment horizontal="center" vertical="center" wrapText="1"/>
    </xf>
    <xf numFmtId="0" fontId="50" fillId="35" borderId="411" xfId="0" applyFont="1" applyFill="1" applyBorder="1" applyAlignment="1">
      <alignment horizontal="center" vertical="center" wrapText="1"/>
    </xf>
    <xf numFmtId="0" fontId="50" fillId="35" borderId="412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/>
    </xf>
    <xf numFmtId="49" fontId="48" fillId="33" borderId="413" xfId="0" applyNumberFormat="1" applyFont="1" applyFill="1" applyBorder="1" applyAlignment="1">
      <alignment horizontal="center" vertical="center" wrapText="1"/>
    </xf>
    <xf numFmtId="0" fontId="48" fillId="33" borderId="413" xfId="0" applyFont="1" applyFill="1" applyBorder="1" applyAlignment="1">
      <alignment vertical="center" wrapText="1"/>
    </xf>
    <xf numFmtId="0" fontId="48" fillId="33" borderId="413" xfId="0" applyFont="1" applyFill="1" applyBorder="1" applyAlignment="1">
      <alignment horizontal="center" vertical="center"/>
    </xf>
    <xf numFmtId="4" fontId="48" fillId="33" borderId="413" xfId="0" applyNumberFormat="1" applyFont="1" applyFill="1" applyBorder="1" applyAlignment="1">
      <alignment horizontal="right" vertical="center"/>
    </xf>
    <xf numFmtId="185" fontId="48" fillId="33" borderId="414" xfId="0" applyNumberFormat="1" applyFont="1" applyFill="1" applyBorder="1" applyAlignment="1">
      <alignment horizontal="right" vertical="center"/>
    </xf>
    <xf numFmtId="49" fontId="48" fillId="33" borderId="99" xfId="0" applyNumberFormat="1" applyFont="1" applyFill="1" applyBorder="1" applyAlignment="1">
      <alignment horizontal="center" vertical="center" wrapText="1"/>
    </xf>
    <xf numFmtId="0" fontId="48" fillId="33" borderId="64" xfId="0" applyFont="1" applyFill="1" applyBorder="1" applyAlignment="1">
      <alignment vertical="center" wrapText="1"/>
    </xf>
    <xf numFmtId="49" fontId="48" fillId="33" borderId="103" xfId="0" applyNumberFormat="1" applyFont="1" applyFill="1" applyBorder="1" applyAlignment="1">
      <alignment horizontal="center" vertical="center" wrapText="1"/>
    </xf>
    <xf numFmtId="4" fontId="48" fillId="33" borderId="99" xfId="0" applyNumberFormat="1" applyFont="1" applyFill="1" applyBorder="1" applyAlignment="1">
      <alignment horizontal="right" vertical="center"/>
    </xf>
    <xf numFmtId="185" fontId="48" fillId="33" borderId="348" xfId="0" applyNumberFormat="1" applyFont="1" applyFill="1" applyBorder="1" applyAlignment="1">
      <alignment horizontal="right" vertical="center"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 vertical="center" wrapText="1"/>
    </xf>
    <xf numFmtId="185" fontId="48" fillId="33" borderId="342" xfId="0" applyNumberFormat="1" applyFont="1" applyFill="1" applyBorder="1" applyAlignment="1">
      <alignment horizontal="right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77" xfId="0" applyNumberFormat="1" applyFont="1" applyFill="1" applyBorder="1" applyAlignment="1">
      <alignment horizontal="center" vertical="center" wrapText="1"/>
    </xf>
    <xf numFmtId="0" fontId="48" fillId="33" borderId="99" xfId="0" applyFont="1" applyFill="1" applyBorder="1" applyAlignment="1">
      <alignment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64" xfId="0" applyNumberFormat="1" applyFont="1" applyFill="1" applyBorder="1" applyAlignment="1">
      <alignment horizontal="center" vertical="center" wrapText="1"/>
    </xf>
    <xf numFmtId="49" fontId="48" fillId="34" borderId="19" xfId="0" applyNumberFormat="1" applyFont="1" applyFill="1" applyBorder="1" applyAlignment="1">
      <alignment horizontal="center" vertical="center" wrapText="1"/>
    </xf>
    <xf numFmtId="49" fontId="48" fillId="33" borderId="21" xfId="0" applyNumberFormat="1" applyFont="1" applyFill="1" applyBorder="1" applyAlignment="1">
      <alignment horizontal="center" vertical="center" wrapText="1"/>
    </xf>
    <xf numFmtId="49" fontId="48" fillId="33" borderId="19" xfId="0" applyNumberFormat="1" applyFont="1" applyFill="1" applyBorder="1" applyAlignment="1">
      <alignment horizontal="center" vertical="center" wrapText="1"/>
    </xf>
    <xf numFmtId="49" fontId="48" fillId="33" borderId="99" xfId="0" applyNumberFormat="1" applyFont="1" applyFill="1" applyBorder="1" applyAlignment="1">
      <alignment horizontal="center" vertical="center"/>
    </xf>
    <xf numFmtId="4" fontId="48" fillId="33" borderId="10" xfId="0" applyNumberFormat="1" applyFont="1" applyFill="1" applyBorder="1" applyAlignment="1">
      <alignment horizontal="right" vertical="center"/>
    </xf>
    <xf numFmtId="49" fontId="48" fillId="33" borderId="103" xfId="0" applyNumberFormat="1" applyFont="1" applyFill="1" applyBorder="1" applyAlignment="1">
      <alignment horizontal="center" vertical="center"/>
    </xf>
    <xf numFmtId="4" fontId="48" fillId="0" borderId="21" xfId="0" applyNumberFormat="1" applyFont="1" applyBorder="1" applyAlignment="1">
      <alignment horizontal="right" vertical="center"/>
    </xf>
    <xf numFmtId="4" fontId="48" fillId="0" borderId="10" xfId="0" applyNumberFormat="1" applyFont="1" applyBorder="1" applyAlignment="1">
      <alignment horizontal="right" vertical="center"/>
    </xf>
    <xf numFmtId="49" fontId="48" fillId="33" borderId="415" xfId="0" applyNumberFormat="1" applyFont="1" applyFill="1" applyBorder="1" applyAlignment="1">
      <alignment horizontal="center" vertical="center"/>
    </xf>
    <xf numFmtId="49" fontId="48" fillId="33" borderId="415" xfId="0" applyNumberFormat="1" applyFont="1" applyFill="1" applyBorder="1" applyAlignment="1">
      <alignment horizontal="center" vertical="center" wrapText="1"/>
    </xf>
    <xf numFmtId="49" fontId="48" fillId="33" borderId="100" xfId="0" applyNumberFormat="1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vertical="center" wrapText="1"/>
    </xf>
    <xf numFmtId="49" fontId="48" fillId="33" borderId="100" xfId="0" applyNumberFormat="1" applyFont="1" applyFill="1" applyBorder="1" applyAlignment="1">
      <alignment horizontal="center" vertical="center" wrapText="1"/>
    </xf>
    <xf numFmtId="4" fontId="48" fillId="33" borderId="64" xfId="0" applyNumberFormat="1" applyFont="1" applyFill="1" applyBorder="1" applyAlignment="1">
      <alignment horizontal="right" vertical="center"/>
    </xf>
    <xf numFmtId="185" fontId="48" fillId="33" borderId="416" xfId="0" applyNumberFormat="1" applyFont="1" applyFill="1" applyBorder="1" applyAlignment="1">
      <alignment horizontal="right" vertical="center"/>
    </xf>
    <xf numFmtId="4" fontId="50" fillId="33" borderId="417" xfId="0" applyNumberFormat="1" applyFont="1" applyFill="1" applyBorder="1" applyAlignment="1">
      <alignment vertical="center"/>
    </xf>
    <xf numFmtId="0" fontId="50" fillId="33" borderId="355" xfId="0" applyFont="1" applyFill="1" applyBorder="1" applyAlignment="1">
      <alignment horizontal="center" vertical="center" wrapText="1"/>
    </xf>
    <xf numFmtId="49" fontId="48" fillId="33" borderId="418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 vertical="center"/>
    </xf>
    <xf numFmtId="3" fontId="48" fillId="33" borderId="64" xfId="0" applyNumberFormat="1" applyFont="1" applyFill="1" applyBorder="1" applyAlignment="1">
      <alignment horizontal="left" vertical="center" wrapText="1"/>
    </xf>
    <xf numFmtId="4" fontId="48" fillId="33" borderId="64" xfId="0" applyNumberFormat="1" applyFont="1" applyFill="1" applyBorder="1" applyAlignment="1">
      <alignment horizontal="right" vertical="center" wrapText="1"/>
    </xf>
    <xf numFmtId="4" fontId="48" fillId="33" borderId="419" xfId="0" applyNumberFormat="1" applyFont="1" applyFill="1" applyBorder="1" applyAlignment="1">
      <alignment horizontal="right" vertical="center"/>
    </xf>
    <xf numFmtId="9" fontId="48" fillId="33" borderId="420" xfId="0" applyNumberFormat="1" applyFont="1" applyFill="1" applyBorder="1" applyAlignment="1">
      <alignment horizontal="right" vertical="center"/>
    </xf>
    <xf numFmtId="0" fontId="48" fillId="33" borderId="355" xfId="0" applyFont="1" applyFill="1" applyBorder="1" applyAlignment="1">
      <alignment horizontal="center" vertical="center" textRotation="90"/>
    </xf>
    <xf numFmtId="0" fontId="48" fillId="33" borderId="14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left"/>
    </xf>
    <xf numFmtId="0" fontId="48" fillId="33" borderId="10" xfId="0" applyFont="1" applyFill="1" applyBorder="1" applyAlignment="1">
      <alignment vertical="center"/>
    </xf>
    <xf numFmtId="177" fontId="48" fillId="33" borderId="10" xfId="0" applyNumberFormat="1" applyFont="1" applyFill="1" applyBorder="1" applyAlignment="1">
      <alignment horizontal="right" vertical="center"/>
    </xf>
    <xf numFmtId="177" fontId="48" fillId="33" borderId="21" xfId="0" applyNumberFormat="1" applyFont="1" applyFill="1" applyBorder="1" applyAlignment="1">
      <alignment horizontal="right" vertical="center"/>
    </xf>
    <xf numFmtId="0" fontId="48" fillId="33" borderId="21" xfId="0" applyFont="1" applyFill="1" applyBorder="1" applyAlignment="1">
      <alignment horizontal="center"/>
    </xf>
    <xf numFmtId="0" fontId="48" fillId="33" borderId="21" xfId="0" applyFont="1" applyFill="1" applyBorder="1" applyAlignment="1">
      <alignment vertical="center"/>
    </xf>
    <xf numFmtId="49" fontId="48" fillId="33" borderId="419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/>
    </xf>
    <xf numFmtId="49" fontId="48" fillId="33" borderId="14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0" fontId="50" fillId="33" borderId="355" xfId="0" applyFont="1" applyFill="1" applyBorder="1" applyAlignment="1">
      <alignment horizontal="center" vertical="center" textRotation="90"/>
    </xf>
    <xf numFmtId="0" fontId="48" fillId="33" borderId="14" xfId="0" applyFont="1" applyFill="1" applyBorder="1" applyAlignment="1">
      <alignment horizontal="center" vertical="center" wrapText="1"/>
    </xf>
    <xf numFmtId="4" fontId="48" fillId="33" borderId="21" xfId="0" applyNumberFormat="1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75" xfId="0" applyFont="1" applyFill="1" applyBorder="1" applyAlignment="1">
      <alignment horizontal="center" vertical="center"/>
    </xf>
    <xf numFmtId="4" fontId="48" fillId="33" borderId="21" xfId="0" applyNumberFormat="1" applyFont="1" applyFill="1" applyBorder="1" applyAlignment="1">
      <alignment horizontal="right" vertical="center"/>
    </xf>
    <xf numFmtId="0" fontId="48" fillId="33" borderId="421" xfId="0" applyFont="1" applyFill="1" applyBorder="1" applyAlignment="1">
      <alignment horizontal="center" vertical="center" textRotation="90"/>
    </xf>
    <xf numFmtId="4" fontId="50" fillId="33" borderId="422" xfId="0" applyNumberFormat="1" applyFont="1" applyFill="1" applyBorder="1" applyAlignment="1">
      <alignment horizontal="right" vertical="center"/>
    </xf>
    <xf numFmtId="4" fontId="50" fillId="33" borderId="417" xfId="0" applyNumberFormat="1" applyFont="1" applyFill="1" applyBorder="1" applyAlignment="1">
      <alignment horizontal="right" vertical="center"/>
    </xf>
    <xf numFmtId="185" fontId="48" fillId="33" borderId="423" xfId="0" applyNumberFormat="1" applyFont="1" applyFill="1" applyBorder="1" applyAlignment="1">
      <alignment horizontal="right" vertical="center"/>
    </xf>
    <xf numFmtId="0" fontId="48" fillId="33" borderId="99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1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33" borderId="0" xfId="0" applyFont="1" applyFill="1" applyBorder="1" applyAlignment="1">
      <alignment horizontal="right" vertical="center" wrapText="1"/>
    </xf>
    <xf numFmtId="0" fontId="50" fillId="36" borderId="424" xfId="0" applyFont="1" applyFill="1" applyBorder="1" applyAlignment="1">
      <alignment horizontal="center" vertical="center" textRotation="90"/>
    </xf>
    <xf numFmtId="0" fontId="48" fillId="36" borderId="160" xfId="0" applyFont="1" applyFill="1" applyBorder="1" applyAlignment="1">
      <alignment vertical="center"/>
    </xf>
    <xf numFmtId="0" fontId="50" fillId="36" borderId="425" xfId="0" applyFont="1" applyFill="1" applyBorder="1" applyAlignment="1">
      <alignment vertical="center"/>
    </xf>
    <xf numFmtId="0" fontId="50" fillId="36" borderId="425" xfId="0" applyFont="1" applyFill="1" applyBorder="1" applyAlignment="1">
      <alignment horizontal="left" vertical="center"/>
    </xf>
    <xf numFmtId="4" fontId="50" fillId="36" borderId="166" xfId="0" applyNumberFormat="1" applyFont="1" applyFill="1" applyBorder="1" applyAlignment="1">
      <alignment horizontal="right" vertical="center"/>
    </xf>
    <xf numFmtId="185" fontId="48" fillId="36" borderId="426" xfId="0" applyNumberFormat="1" applyFont="1" applyFill="1" applyBorder="1" applyAlignment="1">
      <alignment horizontal="right" vertical="center"/>
    </xf>
    <xf numFmtId="0" fontId="50" fillId="35" borderId="427" xfId="0" applyFont="1" applyFill="1" applyBorder="1" applyAlignment="1">
      <alignment horizontal="center" vertical="center" wrapText="1"/>
    </xf>
    <xf numFmtId="0" fontId="50" fillId="35" borderId="428" xfId="0" applyFont="1" applyFill="1" applyBorder="1" applyAlignment="1">
      <alignment horizontal="center" vertical="center"/>
    </xf>
    <xf numFmtId="0" fontId="50" fillId="35" borderId="429" xfId="0" applyFont="1" applyFill="1" applyBorder="1" applyAlignment="1">
      <alignment horizontal="center" vertical="center"/>
    </xf>
    <xf numFmtId="3" fontId="50" fillId="35" borderId="430" xfId="0" applyNumberFormat="1" applyFont="1" applyFill="1" applyBorder="1" applyAlignment="1">
      <alignment horizontal="center" vertical="center" wrapText="1"/>
    </xf>
    <xf numFmtId="0" fontId="50" fillId="35" borderId="430" xfId="0" applyFont="1" applyFill="1" applyBorder="1" applyAlignment="1">
      <alignment horizontal="center" vertical="center" wrapText="1"/>
    </xf>
    <xf numFmtId="0" fontId="50" fillId="35" borderId="431" xfId="0" applyFont="1" applyFill="1" applyBorder="1" applyAlignment="1">
      <alignment horizontal="center" vertical="center" wrapText="1"/>
    </xf>
    <xf numFmtId="0" fontId="50" fillId="35" borderId="166" xfId="0" applyFont="1" applyFill="1" applyBorder="1" applyAlignment="1">
      <alignment horizontal="center" vertical="center"/>
    </xf>
    <xf numFmtId="0" fontId="50" fillId="36" borderId="432" xfId="0" applyFont="1" applyFill="1" applyBorder="1" applyAlignment="1">
      <alignment horizontal="center" vertical="center" textRotation="90"/>
    </xf>
    <xf numFmtId="0" fontId="50" fillId="36" borderId="164" xfId="0" applyFont="1" applyFill="1" applyBorder="1" applyAlignment="1">
      <alignment vertical="center"/>
    </xf>
    <xf numFmtId="0" fontId="50" fillId="36" borderId="433" xfId="0" applyFont="1" applyFill="1" applyBorder="1" applyAlignment="1">
      <alignment vertical="center"/>
    </xf>
    <xf numFmtId="4" fontId="50" fillId="36" borderId="165" xfId="0" applyNumberFormat="1" applyFont="1" applyFill="1" applyBorder="1" applyAlignment="1">
      <alignment vertical="center"/>
    </xf>
    <xf numFmtId="185" fontId="50" fillId="36" borderId="423" xfId="0" applyNumberFormat="1" applyFont="1" applyFill="1" applyBorder="1" applyAlignment="1">
      <alignment horizontal="right" vertical="center"/>
    </xf>
    <xf numFmtId="0" fontId="50" fillId="36" borderId="434" xfId="0" applyFont="1" applyFill="1" applyBorder="1" applyAlignment="1">
      <alignment vertical="center"/>
    </xf>
    <xf numFmtId="0" fontId="50" fillId="36" borderId="435" xfId="0" applyFont="1" applyFill="1" applyBorder="1" applyAlignment="1">
      <alignment vertical="center"/>
    </xf>
    <xf numFmtId="4" fontId="50" fillId="36" borderId="417" xfId="0" applyNumberFormat="1" applyFont="1" applyFill="1" applyBorder="1" applyAlignment="1">
      <alignment vertical="center"/>
    </xf>
    <xf numFmtId="0" fontId="48" fillId="0" borderId="436" xfId="0" applyFont="1" applyFill="1" applyBorder="1" applyAlignment="1" applyProtection="1">
      <alignment horizontal="right" vertical="center" wrapText="1"/>
      <protection locked="0"/>
    </xf>
    <xf numFmtId="0" fontId="50" fillId="35" borderId="342" xfId="0" applyFont="1" applyFill="1" applyBorder="1" applyAlignment="1">
      <alignment horizontal="center" vertical="center"/>
    </xf>
    <xf numFmtId="0" fontId="50" fillId="35" borderId="437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shrinkToFit="1"/>
    </xf>
    <xf numFmtId="0" fontId="50" fillId="35" borderId="10" xfId="0" applyFont="1" applyFill="1" applyBorder="1" applyAlignment="1">
      <alignment horizontal="center" vertical="center" wrapText="1" shrinkToFit="1"/>
    </xf>
    <xf numFmtId="0" fontId="50" fillId="35" borderId="10" xfId="0" applyFont="1" applyFill="1" applyBorder="1" applyAlignment="1">
      <alignment horizontal="center" vertical="center" wrapText="1"/>
    </xf>
    <xf numFmtId="0" fontId="48" fillId="0" borderId="408" xfId="0" applyFont="1" applyFill="1" applyBorder="1" applyAlignment="1">
      <alignment vertical="center"/>
    </xf>
    <xf numFmtId="177" fontId="48" fillId="0" borderId="413" xfId="0" applyNumberFormat="1" applyFont="1" applyFill="1" applyBorder="1" applyAlignment="1">
      <alignment horizontal="right" vertical="center"/>
    </xf>
    <xf numFmtId="185" fontId="48" fillId="0" borderId="414" xfId="0" applyNumberFormat="1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right" vertical="center"/>
    </xf>
    <xf numFmtId="185" fontId="48" fillId="0" borderId="342" xfId="0" applyNumberFormat="1" applyFont="1" applyFill="1" applyBorder="1" applyAlignment="1">
      <alignment horizontal="right" vertical="center"/>
    </xf>
    <xf numFmtId="0" fontId="48" fillId="0" borderId="18" xfId="0" applyFont="1" applyFill="1" applyBorder="1" applyAlignment="1">
      <alignment vertical="center"/>
    </xf>
    <xf numFmtId="0" fontId="48" fillId="0" borderId="347" xfId="0" applyFont="1" applyFill="1" applyBorder="1" applyAlignment="1">
      <alignment vertical="center"/>
    </xf>
    <xf numFmtId="177" fontId="52" fillId="0" borderId="10" xfId="0" applyNumberFormat="1" applyFont="1" applyFill="1" applyBorder="1" applyAlignment="1">
      <alignment horizontal="right" vertical="center"/>
    </xf>
    <xf numFmtId="177" fontId="50" fillId="0" borderId="361" xfId="0" applyNumberFormat="1" applyFont="1" applyFill="1" applyBorder="1" applyAlignment="1">
      <alignment horizontal="left" vertical="center"/>
    </xf>
    <xf numFmtId="177" fontId="50" fillId="0" borderId="151" xfId="0" applyNumberFormat="1" applyFont="1" applyFill="1" applyBorder="1" applyAlignment="1">
      <alignment horizontal="right" vertical="center"/>
    </xf>
    <xf numFmtId="185" fontId="50" fillId="0" borderId="438" xfId="0" applyNumberFormat="1" applyFont="1" applyFill="1" applyBorder="1" applyAlignment="1">
      <alignment horizontal="right" vertical="center"/>
    </xf>
    <xf numFmtId="0" fontId="48" fillId="33" borderId="18" xfId="0" applyFont="1" applyFill="1" applyBorder="1" applyAlignment="1" applyProtection="1">
      <alignment vertical="center" wrapText="1"/>
      <protection/>
    </xf>
    <xf numFmtId="177" fontId="48" fillId="33" borderId="19" xfId="0" applyNumberFormat="1" applyFont="1" applyFill="1" applyBorder="1" applyAlignment="1">
      <alignment horizontal="right" vertical="center"/>
    </xf>
    <xf numFmtId="177" fontId="48" fillId="0" borderId="330" xfId="0" applyNumberFormat="1" applyFont="1" applyFill="1" applyBorder="1" applyAlignment="1">
      <alignment horizontal="right" vertical="center"/>
    </xf>
    <xf numFmtId="177" fontId="48" fillId="0" borderId="19" xfId="0" applyNumberFormat="1" applyFont="1" applyFill="1" applyBorder="1" applyAlignment="1">
      <alignment horizontal="right" vertical="center"/>
    </xf>
    <xf numFmtId="185" fontId="48" fillId="0" borderId="439" xfId="0" applyNumberFormat="1" applyFont="1" applyFill="1" applyBorder="1" applyAlignment="1">
      <alignment horizontal="right" vertical="center"/>
    </xf>
    <xf numFmtId="0" fontId="50" fillId="0" borderId="334" xfId="0" applyFont="1" applyFill="1" applyBorder="1" applyAlignment="1">
      <alignment vertical="center"/>
    </xf>
    <xf numFmtId="0" fontId="48" fillId="0" borderId="18" xfId="0" applyFont="1" applyFill="1" applyBorder="1" applyAlignment="1">
      <alignment vertical="center" wrapText="1"/>
    </xf>
    <xf numFmtId="177" fontId="48" fillId="0" borderId="16" xfId="0" applyNumberFormat="1" applyFont="1" applyFill="1" applyBorder="1" applyAlignment="1">
      <alignment horizontal="right" vertical="center"/>
    </xf>
    <xf numFmtId="0" fontId="98" fillId="0" borderId="18" xfId="0" applyFont="1" applyFill="1" applyBorder="1" applyAlignment="1">
      <alignment vertical="center" wrapText="1"/>
    </xf>
    <xf numFmtId="177" fontId="48" fillId="0" borderId="12" xfId="0" applyNumberFormat="1" applyFont="1" applyFill="1" applyBorder="1" applyAlignment="1">
      <alignment horizontal="right" vertical="center"/>
    </xf>
    <xf numFmtId="177" fontId="48" fillId="0" borderId="13" xfId="0" applyNumberFormat="1" applyFont="1" applyFill="1" applyBorder="1" applyAlignment="1">
      <alignment horizontal="right" vertical="center"/>
    </xf>
    <xf numFmtId="0" fontId="48" fillId="0" borderId="440" xfId="0" applyFont="1" applyFill="1" applyBorder="1" applyAlignment="1">
      <alignment vertical="center" wrapText="1"/>
    </xf>
    <xf numFmtId="177" fontId="48" fillId="0" borderId="10" xfId="0" applyNumberFormat="1" applyFont="1" applyFill="1" applyBorder="1" applyAlignment="1">
      <alignment horizontal="right" vertical="center" wrapText="1"/>
    </xf>
    <xf numFmtId="185" fontId="50" fillId="0" borderId="441" xfId="0" applyNumberFormat="1" applyFont="1" applyFill="1" applyBorder="1" applyAlignment="1">
      <alignment horizontal="right" vertical="center"/>
    </xf>
    <xf numFmtId="0" fontId="48" fillId="0" borderId="347" xfId="0" applyFont="1" applyFill="1" applyBorder="1" applyAlignment="1">
      <alignment vertical="center" wrapText="1"/>
    </xf>
    <xf numFmtId="177" fontId="99" fillId="0" borderId="16" xfId="0" applyNumberFormat="1" applyFont="1" applyFill="1" applyBorder="1" applyAlignment="1">
      <alignment vertical="center"/>
    </xf>
    <xf numFmtId="177" fontId="99" fillId="0" borderId="11" xfId="0" applyNumberFormat="1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vertical="center"/>
    </xf>
    <xf numFmtId="177" fontId="99" fillId="0" borderId="14" xfId="0" applyNumberFormat="1" applyFont="1" applyFill="1" applyBorder="1" applyAlignment="1">
      <alignment vertical="center"/>
    </xf>
    <xf numFmtId="0" fontId="98" fillId="0" borderId="347" xfId="0" applyFont="1" applyFill="1" applyBorder="1" applyAlignment="1">
      <alignment vertical="center" wrapText="1"/>
    </xf>
    <xf numFmtId="177" fontId="48" fillId="0" borderId="99" xfId="0" applyNumberFormat="1" applyFont="1" applyFill="1" applyBorder="1" applyAlignment="1">
      <alignment vertical="center"/>
    </xf>
    <xf numFmtId="177" fontId="99" fillId="0" borderId="330" xfId="0" applyNumberFormat="1" applyFont="1" applyFill="1" applyBorder="1" applyAlignment="1">
      <alignment vertical="center"/>
    </xf>
    <xf numFmtId="185" fontId="48" fillId="0" borderId="348" xfId="0" applyNumberFormat="1" applyFont="1" applyFill="1" applyBorder="1" applyAlignment="1">
      <alignment horizontal="right" vertical="center"/>
    </xf>
    <xf numFmtId="177" fontId="50" fillId="0" borderId="163" xfId="0" applyNumberFormat="1" applyFont="1" applyFill="1" applyBorder="1" applyAlignment="1">
      <alignment vertical="center"/>
    </xf>
    <xf numFmtId="177" fontId="48" fillId="0" borderId="13" xfId="0" applyNumberFormat="1" applyFont="1" applyFill="1" applyBorder="1" applyAlignment="1">
      <alignment vertical="center"/>
    </xf>
    <xf numFmtId="177" fontId="48" fillId="0" borderId="103" xfId="0" applyNumberFormat="1" applyFont="1" applyFill="1" applyBorder="1" applyAlignment="1">
      <alignment vertical="center"/>
    </xf>
    <xf numFmtId="0" fontId="48" fillId="34" borderId="0" xfId="0" applyFont="1" applyFill="1" applyAlignment="1">
      <alignment vertical="center"/>
    </xf>
    <xf numFmtId="0" fontId="99" fillId="0" borderId="10" xfId="0" applyFont="1" applyFill="1" applyBorder="1" applyAlignment="1" applyProtection="1">
      <alignment horizontal="left" vertical="center" wrapText="1"/>
      <protection locked="0"/>
    </xf>
    <xf numFmtId="177" fontId="99" fillId="0" borderId="10" xfId="0" applyNumberFormat="1" applyFont="1" applyFill="1" applyBorder="1" applyAlignment="1">
      <alignment vertical="center"/>
    </xf>
    <xf numFmtId="177" fontId="99" fillId="0" borderId="21" xfId="0" applyNumberFormat="1" applyFont="1" applyFill="1" applyBorder="1" applyAlignment="1">
      <alignment vertical="center"/>
    </xf>
    <xf numFmtId="177" fontId="48" fillId="0" borderId="19" xfId="0" applyNumberFormat="1" applyFont="1" applyFill="1" applyBorder="1" applyAlignment="1">
      <alignment vertical="center"/>
    </xf>
    <xf numFmtId="0" fontId="99" fillId="0" borderId="20" xfId="0" applyFont="1" applyFill="1" applyBorder="1" applyAlignment="1" applyProtection="1">
      <alignment horizontal="left" vertical="center" wrapText="1"/>
      <protection locked="0"/>
    </xf>
    <xf numFmtId="177" fontId="99" fillId="0" borderId="16" xfId="0" applyNumberFormat="1" applyFont="1" applyFill="1" applyBorder="1" applyAlignment="1">
      <alignment horizontal="right" vertical="center"/>
    </xf>
    <xf numFmtId="0" fontId="48" fillId="0" borderId="18" xfId="0" applyFont="1" applyBorder="1" applyAlignment="1">
      <alignment vertical="center" wrapText="1"/>
    </xf>
    <xf numFmtId="177" fontId="99" fillId="0" borderId="11" xfId="0" applyNumberFormat="1" applyFont="1" applyFill="1" applyBorder="1" applyAlignment="1">
      <alignment horizontal="right" vertical="center"/>
    </xf>
    <xf numFmtId="177" fontId="99" fillId="0" borderId="15" xfId="0" applyNumberFormat="1" applyFont="1" applyFill="1" applyBorder="1" applyAlignment="1">
      <alignment horizontal="right" vertical="center"/>
    </xf>
    <xf numFmtId="0" fontId="48" fillId="0" borderId="20" xfId="0" applyFont="1" applyBorder="1" applyAlignment="1">
      <alignment vertical="center" wrapText="1"/>
    </xf>
    <xf numFmtId="177" fontId="48" fillId="0" borderId="103" xfId="0" applyNumberFormat="1" applyFont="1" applyFill="1" applyBorder="1" applyAlignment="1">
      <alignment horizontal="right" vertical="center"/>
    </xf>
    <xf numFmtId="0" fontId="48" fillId="0" borderId="442" xfId="0" applyFont="1" applyBorder="1" applyAlignment="1">
      <alignment vertical="center" wrapText="1"/>
    </xf>
    <xf numFmtId="0" fontId="48" fillId="33" borderId="347" xfId="0" applyFont="1" applyFill="1" applyBorder="1" applyAlignment="1" applyProtection="1">
      <alignment horizontal="left" vertical="center" wrapText="1"/>
      <protection locked="0"/>
    </xf>
    <xf numFmtId="177" fontId="48" fillId="0" borderId="99" xfId="0" applyNumberFormat="1" applyFont="1" applyFill="1" applyBorder="1" applyAlignment="1">
      <alignment horizontal="right" vertical="center"/>
    </xf>
    <xf numFmtId="0" fontId="48" fillId="33" borderId="355" xfId="0" applyFont="1" applyFill="1" applyBorder="1" applyAlignment="1" applyProtection="1">
      <alignment horizontal="left" vertical="center" wrapText="1"/>
      <protection locked="0"/>
    </xf>
    <xf numFmtId="177" fontId="48" fillId="0" borderId="64" xfId="0" applyNumberFormat="1" applyFont="1" applyFill="1" applyBorder="1" applyAlignment="1">
      <alignment horizontal="right" vertical="center"/>
    </xf>
    <xf numFmtId="177" fontId="99" fillId="0" borderId="10" xfId="0" applyNumberFormat="1" applyFont="1" applyFill="1" applyBorder="1" applyAlignment="1">
      <alignment horizontal="right" vertical="center"/>
    </xf>
    <xf numFmtId="0" fontId="99" fillId="33" borderId="442" xfId="0" applyFont="1" applyFill="1" applyBorder="1" applyAlignment="1">
      <alignment horizontal="left" vertical="center" wrapText="1"/>
    </xf>
    <xf numFmtId="177" fontId="99" fillId="0" borderId="443" xfId="0" applyNumberFormat="1" applyFont="1" applyFill="1" applyBorder="1" applyAlignment="1">
      <alignment horizontal="right" vertical="center"/>
    </xf>
    <xf numFmtId="0" fontId="48" fillId="0" borderId="355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442" xfId="0" applyFont="1" applyFill="1" applyBorder="1" applyAlignment="1">
      <alignment horizontal="left" vertical="center" wrapText="1"/>
    </xf>
    <xf numFmtId="177" fontId="48" fillId="0" borderId="11" xfId="0" applyNumberFormat="1" applyFont="1" applyFill="1" applyBorder="1" applyAlignment="1">
      <alignment horizontal="right" vertical="center"/>
    </xf>
    <xf numFmtId="177" fontId="48" fillId="0" borderId="15" xfId="0" applyNumberFormat="1" applyFont="1" applyFill="1" applyBorder="1" applyAlignment="1">
      <alignment horizontal="right" vertical="center"/>
    </xf>
    <xf numFmtId="0" fontId="98" fillId="0" borderId="347" xfId="0" applyFont="1" applyBorder="1" applyAlignment="1">
      <alignment vertical="center" wrapText="1"/>
    </xf>
    <xf numFmtId="177" fontId="48" fillId="0" borderId="15" xfId="0" applyNumberFormat="1" applyFont="1" applyFill="1" applyBorder="1" applyAlignment="1">
      <alignment horizontal="right" vertical="center" wrapText="1"/>
    </xf>
    <xf numFmtId="177" fontId="99" fillId="0" borderId="14" xfId="0" applyNumberFormat="1" applyFont="1" applyFill="1" applyBorder="1" applyAlignment="1">
      <alignment horizontal="right" vertical="center" wrapText="1"/>
    </xf>
    <xf numFmtId="0" fontId="98" fillId="0" borderId="18" xfId="0" applyFont="1" applyBorder="1" applyAlignment="1">
      <alignment vertical="center" wrapText="1"/>
    </xf>
    <xf numFmtId="177" fontId="99" fillId="0" borderId="10" xfId="0" applyNumberFormat="1" applyFont="1" applyFill="1" applyBorder="1" applyAlignment="1">
      <alignment horizontal="right" vertical="center" wrapText="1"/>
    </xf>
    <xf numFmtId="177" fontId="48" fillId="0" borderId="11" xfId="49" applyNumberFormat="1" applyFont="1" applyFill="1" applyBorder="1" applyAlignment="1">
      <alignment horizontal="right" vertical="center"/>
      <protection/>
    </xf>
    <xf numFmtId="177" fontId="48" fillId="0" borderId="14" xfId="49" applyNumberFormat="1" applyFont="1" applyFill="1" applyBorder="1" applyAlignment="1">
      <alignment horizontal="right" vertical="center"/>
      <protection/>
    </xf>
    <xf numFmtId="177" fontId="99" fillId="0" borderId="14" xfId="49" applyNumberFormat="1" applyFont="1" applyFill="1" applyBorder="1" applyAlignment="1">
      <alignment horizontal="right" vertical="center"/>
      <protection/>
    </xf>
    <xf numFmtId="0" fontId="48" fillId="0" borderId="18" xfId="0" applyFont="1" applyBorder="1" applyAlignment="1">
      <alignment horizontal="left" vertical="center" wrapText="1"/>
    </xf>
    <xf numFmtId="177" fontId="48" fillId="0" borderId="14" xfId="0" applyNumberFormat="1" applyFont="1" applyFill="1" applyBorder="1" applyAlignment="1">
      <alignment horizontal="right" vertical="center"/>
    </xf>
    <xf numFmtId="177" fontId="48" fillId="0" borderId="444" xfId="0" applyNumberFormat="1" applyFont="1" applyFill="1" applyBorder="1" applyAlignment="1">
      <alignment horizontal="right" vertical="center"/>
    </xf>
    <xf numFmtId="0" fontId="50" fillId="36" borderId="424" xfId="0" applyFont="1" applyFill="1" applyBorder="1" applyAlignment="1">
      <alignment vertical="center"/>
    </xf>
    <xf numFmtId="177" fontId="50" fillId="36" borderId="166" xfId="0" applyNumberFormat="1" applyFont="1" applyFill="1" applyBorder="1" applyAlignment="1">
      <alignment vertical="center"/>
    </xf>
    <xf numFmtId="185" fontId="50" fillId="36" borderId="426" xfId="0" applyNumberFormat="1" applyFont="1" applyFill="1" applyBorder="1" applyAlignment="1">
      <alignment horizontal="right" vertical="center"/>
    </xf>
    <xf numFmtId="0" fontId="99" fillId="33" borderId="18" xfId="0" applyFont="1" applyFill="1" applyBorder="1" applyAlignment="1">
      <alignment horizontal="left" vertical="center" wrapText="1"/>
    </xf>
    <xf numFmtId="0" fontId="98" fillId="0" borderId="20" xfId="0" applyFont="1" applyFill="1" applyBorder="1" applyAlignment="1">
      <alignment vertical="center" wrapText="1"/>
    </xf>
    <xf numFmtId="0" fontId="48" fillId="0" borderId="445" xfId="0" applyFont="1" applyFill="1" applyBorder="1" applyAlignment="1">
      <alignment vertical="center" wrapText="1"/>
    </xf>
    <xf numFmtId="0" fontId="98" fillId="0" borderId="446" xfId="0" applyFont="1" applyFill="1" applyBorder="1" applyAlignment="1">
      <alignment vertical="center" wrapText="1"/>
    </xf>
    <xf numFmtId="0" fontId="50" fillId="0" borderId="447" xfId="0" applyFont="1" applyFill="1" applyBorder="1" applyAlignment="1">
      <alignment vertical="center"/>
    </xf>
    <xf numFmtId="177" fontId="50" fillId="0" borderId="448" xfId="0" applyNumberFormat="1" applyFont="1" applyFill="1" applyBorder="1" applyAlignment="1">
      <alignment horizontal="right" vertical="center"/>
    </xf>
    <xf numFmtId="185" fontId="50" fillId="0" borderId="449" xfId="0" applyNumberFormat="1" applyFont="1" applyFill="1" applyBorder="1" applyAlignment="1">
      <alignment horizontal="right" vertical="center"/>
    </xf>
    <xf numFmtId="177" fontId="50" fillId="0" borderId="448" xfId="0" applyNumberFormat="1" applyFont="1" applyFill="1" applyBorder="1" applyAlignment="1">
      <alignment vertical="center"/>
    </xf>
    <xf numFmtId="3" fontId="50" fillId="0" borderId="447" xfId="0" applyNumberFormat="1" applyFont="1" applyFill="1" applyBorder="1" applyAlignment="1">
      <alignment vertical="center" wrapText="1"/>
    </xf>
    <xf numFmtId="0" fontId="100" fillId="33" borderId="447" xfId="0" applyFont="1" applyFill="1" applyBorder="1" applyAlignment="1">
      <alignment vertical="center"/>
    </xf>
    <xf numFmtId="177" fontId="100" fillId="0" borderId="448" xfId="0" applyNumberFormat="1" applyFont="1" applyFill="1" applyBorder="1" applyAlignment="1">
      <alignment horizontal="right" vertical="center"/>
    </xf>
    <xf numFmtId="177" fontId="50" fillId="0" borderId="450" xfId="0" applyNumberFormat="1" applyFont="1" applyFill="1" applyBorder="1" applyAlignment="1">
      <alignment horizontal="right" vertical="center"/>
    </xf>
    <xf numFmtId="177" fontId="50" fillId="0" borderId="450" xfId="0" applyNumberFormat="1" applyFont="1" applyFill="1" applyBorder="1" applyAlignment="1">
      <alignment vertical="center"/>
    </xf>
    <xf numFmtId="0" fontId="48" fillId="0" borderId="451" xfId="0" applyFont="1" applyBorder="1" applyAlignment="1">
      <alignment vertical="center" wrapText="1"/>
    </xf>
    <xf numFmtId="177" fontId="48" fillId="0" borderId="452" xfId="0" applyNumberFormat="1" applyFont="1" applyFill="1" applyBorder="1" applyAlignment="1">
      <alignment horizontal="right" vertical="center"/>
    </xf>
    <xf numFmtId="0" fontId="41" fillId="34" borderId="0" xfId="0" applyFont="1" applyFill="1" applyBorder="1" applyAlignment="1">
      <alignment horizontal="left" vertical="center"/>
    </xf>
    <xf numFmtId="0" fontId="41" fillId="34" borderId="0" xfId="0" applyFont="1" applyFill="1" applyBorder="1" applyAlignment="1">
      <alignment horizontal="left" vertical="center" wrapText="1"/>
    </xf>
    <xf numFmtId="0" fontId="41" fillId="0" borderId="453" xfId="0" applyFont="1" applyBorder="1" applyAlignment="1">
      <alignment vertical="center" wrapText="1"/>
    </xf>
    <xf numFmtId="4" fontId="41" fillId="0" borderId="454" xfId="0" applyNumberFormat="1" applyFont="1" applyBorder="1" applyAlignment="1">
      <alignment vertical="center"/>
    </xf>
    <xf numFmtId="0" fontId="41" fillId="0" borderId="455" xfId="0" applyFont="1" applyBorder="1" applyAlignment="1">
      <alignment vertical="center" wrapText="1"/>
    </xf>
    <xf numFmtId="0" fontId="41" fillId="0" borderId="456" xfId="0" applyFont="1" applyBorder="1" applyAlignment="1">
      <alignment vertical="center" wrapText="1"/>
    </xf>
    <xf numFmtId="4" fontId="41" fillId="0" borderId="457" xfId="0" applyNumberFormat="1" applyFont="1" applyBorder="1" applyAlignment="1">
      <alignment vertical="center"/>
    </xf>
    <xf numFmtId="0" fontId="41" fillId="0" borderId="458" xfId="0" applyFont="1" applyBorder="1" applyAlignment="1">
      <alignment vertical="center" wrapText="1"/>
    </xf>
    <xf numFmtId="4" fontId="41" fillId="0" borderId="459" xfId="0" applyNumberFormat="1" applyFont="1" applyBorder="1" applyAlignment="1">
      <alignment vertical="center"/>
    </xf>
    <xf numFmtId="0" fontId="41" fillId="0" borderId="460" xfId="0" applyFont="1" applyBorder="1" applyAlignment="1">
      <alignment vertical="center" wrapText="1"/>
    </xf>
    <xf numFmtId="4" fontId="41" fillId="0" borderId="461" xfId="0" applyNumberFormat="1" applyFont="1" applyBorder="1" applyAlignment="1">
      <alignment vertical="center"/>
    </xf>
    <xf numFmtId="0" fontId="42" fillId="0" borderId="462" xfId="0" applyFont="1" applyBorder="1" applyAlignment="1">
      <alignment vertical="center" wrapText="1"/>
    </xf>
    <xf numFmtId="4" fontId="42" fillId="0" borderId="463" xfId="0" applyNumberFormat="1" applyFont="1" applyBorder="1" applyAlignment="1">
      <alignment vertical="center"/>
    </xf>
    <xf numFmtId="0" fontId="41" fillId="0" borderId="464" xfId="0" applyFont="1" applyBorder="1" applyAlignment="1">
      <alignment vertical="center" wrapText="1"/>
    </xf>
    <xf numFmtId="0" fontId="41" fillId="0" borderId="465" xfId="0" applyFont="1" applyBorder="1" applyAlignment="1">
      <alignment vertical="center" wrapText="1"/>
    </xf>
    <xf numFmtId="0" fontId="41" fillId="0" borderId="465" xfId="0" applyFont="1" applyBorder="1" applyAlignment="1">
      <alignment horizontal="left" vertical="center" wrapText="1"/>
    </xf>
    <xf numFmtId="4" fontId="41" fillId="0" borderId="457" xfId="0" applyNumberFormat="1" applyFont="1" applyBorder="1" applyAlignment="1">
      <alignment horizontal="right" vertical="center"/>
    </xf>
    <xf numFmtId="0" fontId="42" fillId="36" borderId="466" xfId="0" applyFont="1" applyFill="1" applyBorder="1" applyAlignment="1">
      <alignment vertical="center" wrapText="1"/>
    </xf>
    <xf numFmtId="4" fontId="42" fillId="36" borderId="450" xfId="0" applyNumberFormat="1" applyFont="1" applyFill="1" applyBorder="1" applyAlignment="1">
      <alignment vertical="center"/>
    </xf>
    <xf numFmtId="4" fontId="42" fillId="36" borderId="467" xfId="0" applyNumberFormat="1" applyFont="1" applyFill="1" applyBorder="1" applyAlignment="1">
      <alignment vertical="center"/>
    </xf>
    <xf numFmtId="4" fontId="42" fillId="36" borderId="448" xfId="0" applyNumberFormat="1" applyFont="1" applyFill="1" applyBorder="1" applyAlignment="1">
      <alignment vertical="center"/>
    </xf>
    <xf numFmtId="4" fontId="42" fillId="36" borderId="468" xfId="0" applyNumberFormat="1" applyFont="1" applyFill="1" applyBorder="1" applyAlignment="1">
      <alignment vertical="center"/>
    </xf>
    <xf numFmtId="4" fontId="42" fillId="36" borderId="469" xfId="0" applyNumberFormat="1" applyFont="1" applyFill="1" applyBorder="1" applyAlignment="1">
      <alignment vertical="center"/>
    </xf>
    <xf numFmtId="4" fontId="42" fillId="36" borderId="470" xfId="0" applyNumberFormat="1" applyFont="1" applyFill="1" applyBorder="1" applyAlignment="1">
      <alignment vertical="center"/>
    </xf>
    <xf numFmtId="4" fontId="42" fillId="36" borderId="471" xfId="0" applyNumberFormat="1" applyFont="1" applyFill="1" applyBorder="1" applyAlignment="1">
      <alignment vertical="center"/>
    </xf>
    <xf numFmtId="176" fontId="6" fillId="35" borderId="11" xfId="0" applyNumberFormat="1" applyFont="1" applyFill="1" applyBorder="1" applyAlignment="1">
      <alignment horizontal="center" vertical="center"/>
    </xf>
    <xf numFmtId="177" fontId="4" fillId="36" borderId="61" xfId="0" applyNumberFormat="1" applyFont="1" applyFill="1" applyBorder="1" applyAlignment="1">
      <alignment vertical="center"/>
    </xf>
    <xf numFmtId="177" fontId="4" fillId="36" borderId="35" xfId="0" applyNumberFormat="1" applyFont="1" applyFill="1" applyBorder="1" applyAlignment="1">
      <alignment vertical="center"/>
    </xf>
    <xf numFmtId="185" fontId="4" fillId="36" borderId="39" xfId="0" applyNumberFormat="1" applyFont="1" applyFill="1" applyBorder="1" applyAlignment="1">
      <alignment vertical="center"/>
    </xf>
    <xf numFmtId="177" fontId="10" fillId="36" borderId="13" xfId="0" applyNumberFormat="1" applyFont="1" applyFill="1" applyBorder="1" applyAlignment="1">
      <alignment vertical="center"/>
    </xf>
    <xf numFmtId="177" fontId="10" fillId="36" borderId="61" xfId="0" applyNumberFormat="1" applyFont="1" applyFill="1" applyBorder="1" applyAlignment="1">
      <alignment vertical="center"/>
    </xf>
    <xf numFmtId="177" fontId="4" fillId="36" borderId="35" xfId="0" applyNumberFormat="1" applyFont="1" applyFill="1" applyBorder="1" applyAlignment="1">
      <alignment vertical="center"/>
    </xf>
    <xf numFmtId="177" fontId="10" fillId="36" borderId="110" xfId="0" applyNumberFormat="1" applyFont="1" applyFill="1" applyBorder="1" applyAlignment="1">
      <alignment vertical="center"/>
    </xf>
    <xf numFmtId="185" fontId="4" fillId="36" borderId="472" xfId="0" applyNumberFormat="1" applyFont="1" applyFill="1" applyBorder="1" applyAlignment="1">
      <alignment vertical="center"/>
    </xf>
    <xf numFmtId="185" fontId="15" fillId="36" borderId="15" xfId="0" applyNumberFormat="1" applyFont="1" applyFill="1" applyBorder="1" applyAlignment="1">
      <alignment vertical="center"/>
    </xf>
    <xf numFmtId="176" fontId="30" fillId="35" borderId="263" xfId="0" applyNumberFormat="1" applyFont="1" applyFill="1" applyBorder="1" applyAlignment="1">
      <alignment horizontal="center" vertical="center"/>
    </xf>
    <xf numFmtId="176" fontId="30" fillId="35" borderId="35" xfId="0" applyNumberFormat="1" applyFont="1" applyFill="1" applyBorder="1" applyAlignment="1">
      <alignment horizontal="center" vertical="center"/>
    </xf>
    <xf numFmtId="0" fontId="30" fillId="35" borderId="39" xfId="0" applyFont="1" applyFill="1" applyBorder="1" applyAlignment="1">
      <alignment horizontal="center" vertical="center"/>
    </xf>
    <xf numFmtId="176" fontId="30" fillId="35" borderId="39" xfId="0" applyNumberFormat="1" applyFont="1" applyFill="1" applyBorder="1" applyAlignment="1">
      <alignment horizontal="center" vertical="center"/>
    </xf>
    <xf numFmtId="176" fontId="30" fillId="35" borderId="472" xfId="0" applyNumberFormat="1" applyFont="1" applyFill="1" applyBorder="1" applyAlignment="1">
      <alignment horizontal="center" vertical="center"/>
    </xf>
    <xf numFmtId="176" fontId="30" fillId="35" borderId="61" xfId="0" applyNumberFormat="1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176" fontId="29" fillId="36" borderId="10" xfId="0" applyNumberFormat="1" applyFont="1" applyFill="1" applyBorder="1" applyAlignment="1">
      <alignment vertical="center"/>
    </xf>
    <xf numFmtId="177" fontId="33" fillId="36" borderId="60" xfId="0" applyNumberFormat="1" applyFont="1" applyFill="1" applyBorder="1" applyAlignment="1">
      <alignment vertical="center"/>
    </xf>
    <xf numFmtId="177" fontId="33" fillId="36" borderId="128" xfId="0" applyNumberFormat="1" applyFont="1" applyFill="1" applyBorder="1" applyAlignment="1">
      <alignment vertical="center"/>
    </xf>
    <xf numFmtId="177" fontId="33" fillId="36" borderId="35" xfId="0" applyNumberFormat="1" applyFont="1" applyFill="1" applyBorder="1" applyAlignment="1">
      <alignment vertical="center"/>
    </xf>
    <xf numFmtId="185" fontId="33" fillId="36" borderId="39" xfId="0" applyNumberFormat="1" applyFont="1" applyFill="1" applyBorder="1" applyAlignment="1">
      <alignment vertical="center"/>
    </xf>
    <xf numFmtId="177" fontId="33" fillId="36" borderId="13" xfId="0" applyNumberFormat="1" applyFont="1" applyFill="1" applyBorder="1" applyAlignment="1">
      <alignment vertical="center"/>
    </xf>
    <xf numFmtId="177" fontId="33" fillId="36" borderId="206" xfId="0" applyNumberFormat="1" applyFont="1" applyFill="1" applyBorder="1" applyAlignment="1">
      <alignment vertical="center"/>
    </xf>
    <xf numFmtId="177" fontId="33" fillId="36" borderId="61" xfId="0" applyNumberFormat="1" applyFont="1" applyFill="1" applyBorder="1" applyAlignment="1">
      <alignment vertical="center"/>
    </xf>
    <xf numFmtId="185" fontId="33" fillId="36" borderId="11" xfId="0" applyNumberFormat="1" applyFont="1" applyFill="1" applyBorder="1" applyAlignment="1">
      <alignment vertical="center"/>
    </xf>
    <xf numFmtId="177" fontId="33" fillId="36" borderId="60" xfId="0" applyNumberFormat="1" applyFont="1" applyFill="1" applyBorder="1" applyAlignment="1">
      <alignment vertical="center"/>
    </xf>
    <xf numFmtId="177" fontId="33" fillId="36" borderId="117" xfId="0" applyNumberFormat="1" applyFont="1" applyFill="1" applyBorder="1" applyAlignment="1">
      <alignment vertical="center"/>
    </xf>
    <xf numFmtId="177" fontId="33" fillId="36" borderId="35" xfId="0" applyNumberFormat="1" applyFont="1" applyFill="1" applyBorder="1" applyAlignment="1">
      <alignment vertical="center"/>
    </xf>
    <xf numFmtId="185" fontId="33" fillId="36" borderId="39" xfId="0" applyNumberFormat="1" applyFont="1" applyFill="1" applyBorder="1" applyAlignment="1">
      <alignment vertical="center"/>
    </xf>
    <xf numFmtId="185" fontId="33" fillId="36" borderId="49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185" fontId="56" fillId="0" borderId="0" xfId="0" applyNumberFormat="1" applyFont="1" applyBorder="1" applyAlignment="1">
      <alignment vertical="center"/>
    </xf>
    <xf numFmtId="0" fontId="56" fillId="0" borderId="0" xfId="0" applyFont="1" applyBorder="1" applyAlignment="1">
      <alignment/>
    </xf>
    <xf numFmtId="176" fontId="48" fillId="35" borderId="263" xfId="0" applyNumberFormat="1" applyFont="1" applyFill="1" applyBorder="1" applyAlignment="1">
      <alignment horizontal="center" vertical="center"/>
    </xf>
    <xf numFmtId="176" fontId="48" fillId="35" borderId="35" xfId="0" applyNumberFormat="1" applyFont="1" applyFill="1" applyBorder="1" applyAlignment="1">
      <alignment horizontal="center" vertical="center"/>
    </xf>
    <xf numFmtId="176" fontId="48" fillId="35" borderId="39" xfId="0" applyNumberFormat="1" applyFont="1" applyFill="1" applyBorder="1" applyAlignment="1">
      <alignment horizontal="center" vertical="center"/>
    </xf>
    <xf numFmtId="176" fontId="48" fillId="0" borderId="24" xfId="0" applyNumberFormat="1" applyFont="1" applyBorder="1" applyAlignment="1">
      <alignment vertical="center"/>
    </xf>
    <xf numFmtId="177" fontId="48" fillId="0" borderId="72" xfId="0" applyNumberFormat="1" applyFont="1" applyBorder="1" applyAlignment="1">
      <alignment vertical="center"/>
    </xf>
    <xf numFmtId="177" fontId="48" fillId="0" borderId="473" xfId="0" applyNumberFormat="1" applyFont="1" applyBorder="1" applyAlignment="1">
      <alignment vertical="center"/>
    </xf>
    <xf numFmtId="177" fontId="48" fillId="0" borderId="50" xfId="0" applyNumberFormat="1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177" fontId="48" fillId="0" borderId="46" xfId="0" applyNumberFormat="1" applyFont="1" applyBorder="1" applyAlignment="1">
      <alignment vertical="center"/>
    </xf>
    <xf numFmtId="177" fontId="48" fillId="0" borderId="71" xfId="0" applyNumberFormat="1" applyFont="1" applyBorder="1" applyAlignment="1">
      <alignment vertical="center"/>
    </xf>
    <xf numFmtId="177" fontId="48" fillId="0" borderId="32" xfId="0" applyNumberFormat="1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177" fontId="48" fillId="0" borderId="109" xfId="0" applyNumberFormat="1" applyFont="1" applyBorder="1" applyAlignment="1">
      <alignment vertical="center"/>
    </xf>
    <xf numFmtId="177" fontId="48" fillId="0" borderId="197" xfId="0" applyNumberFormat="1" applyFont="1" applyBorder="1" applyAlignment="1">
      <alignment vertical="center"/>
    </xf>
    <xf numFmtId="177" fontId="48" fillId="0" borderId="65" xfId="0" applyNumberFormat="1" applyFont="1" applyBorder="1" applyAlignment="1">
      <alignment vertical="center"/>
    </xf>
    <xf numFmtId="177" fontId="48" fillId="0" borderId="19" xfId="0" applyNumberFormat="1" applyFont="1" applyBorder="1" applyAlignment="1">
      <alignment vertical="center"/>
    </xf>
    <xf numFmtId="185" fontId="48" fillId="0" borderId="474" xfId="0" applyNumberFormat="1" applyFont="1" applyBorder="1" applyAlignment="1">
      <alignment vertical="center"/>
    </xf>
    <xf numFmtId="177" fontId="48" fillId="0" borderId="131" xfId="0" applyNumberFormat="1" applyFont="1" applyBorder="1" applyAlignment="1">
      <alignment vertical="center"/>
    </xf>
    <xf numFmtId="177" fontId="48" fillId="0" borderId="56" xfId="0" applyNumberFormat="1" applyFont="1" applyBorder="1" applyAlignment="1">
      <alignment vertical="center"/>
    </xf>
    <xf numFmtId="177" fontId="48" fillId="0" borderId="47" xfId="0" applyNumberFormat="1" applyFont="1" applyBorder="1" applyAlignment="1">
      <alignment vertical="center"/>
    </xf>
    <xf numFmtId="185" fontId="48" fillId="0" borderId="57" xfId="0" applyNumberFormat="1" applyFont="1" applyBorder="1" applyAlignment="1">
      <alignment vertical="center"/>
    </xf>
    <xf numFmtId="176" fontId="48" fillId="0" borderId="30" xfId="0" applyNumberFormat="1" applyFont="1" applyBorder="1" applyAlignment="1">
      <alignment vertical="center"/>
    </xf>
    <xf numFmtId="177" fontId="48" fillId="0" borderId="114" xfId="0" applyNumberFormat="1" applyFont="1" applyBorder="1" applyAlignment="1">
      <alignment vertical="center"/>
    </xf>
    <xf numFmtId="177" fontId="48" fillId="0" borderId="115" xfId="0" applyNumberFormat="1" applyFont="1" applyBorder="1" applyAlignment="1">
      <alignment vertical="center"/>
    </xf>
    <xf numFmtId="185" fontId="48" fillId="0" borderId="475" xfId="0" applyNumberFormat="1" applyFont="1" applyBorder="1" applyAlignment="1">
      <alignment vertical="center"/>
    </xf>
    <xf numFmtId="177" fontId="48" fillId="0" borderId="476" xfId="0" applyNumberFormat="1" applyFont="1" applyBorder="1" applyAlignment="1">
      <alignment vertical="center"/>
    </xf>
    <xf numFmtId="177" fontId="48" fillId="0" borderId="58" xfId="0" applyNumberFormat="1" applyFont="1" applyBorder="1" applyAlignment="1">
      <alignment vertical="center"/>
    </xf>
    <xf numFmtId="185" fontId="48" fillId="0" borderId="59" xfId="0" applyNumberFormat="1" applyFont="1" applyBorder="1" applyAlignment="1">
      <alignment vertical="center"/>
    </xf>
    <xf numFmtId="176" fontId="48" fillId="0" borderId="27" xfId="0" applyNumberFormat="1" applyFont="1" applyBorder="1" applyAlignment="1">
      <alignment vertical="center"/>
    </xf>
    <xf numFmtId="177" fontId="48" fillId="0" borderId="100" xfId="0" applyNumberFormat="1" applyFont="1" applyBorder="1" applyAlignment="1">
      <alignment vertical="center"/>
    </xf>
    <xf numFmtId="177" fontId="48" fillId="0" borderId="101" xfId="0" applyNumberFormat="1" applyFont="1" applyBorder="1" applyAlignment="1">
      <alignment vertical="center"/>
    </xf>
    <xf numFmtId="185" fontId="48" fillId="0" borderId="477" xfId="0" applyNumberFormat="1" applyFont="1" applyBorder="1" applyAlignment="1">
      <alignment vertical="center"/>
    </xf>
    <xf numFmtId="177" fontId="48" fillId="0" borderId="125" xfId="0" applyNumberFormat="1" applyFont="1" applyBorder="1" applyAlignment="1">
      <alignment vertical="center"/>
    </xf>
    <xf numFmtId="177" fontId="48" fillId="0" borderId="67" xfId="0" applyNumberFormat="1" applyFont="1" applyBorder="1" applyAlignment="1">
      <alignment vertical="center"/>
    </xf>
    <xf numFmtId="177" fontId="48" fillId="0" borderId="48" xfId="0" applyNumberFormat="1" applyFont="1" applyBorder="1" applyAlignment="1">
      <alignment vertical="center"/>
    </xf>
    <xf numFmtId="185" fontId="48" fillId="0" borderId="68" xfId="0" applyNumberFormat="1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7" fontId="50" fillId="0" borderId="56" xfId="0" applyNumberFormat="1" applyFont="1" applyBorder="1" applyAlignment="1">
      <alignment vertical="center"/>
    </xf>
    <xf numFmtId="177" fontId="50" fillId="0" borderId="47" xfId="0" applyNumberFormat="1" applyFont="1" applyBorder="1" applyAlignment="1">
      <alignment vertical="center"/>
    </xf>
    <xf numFmtId="185" fontId="50" fillId="0" borderId="57" xfId="0" applyNumberFormat="1" applyFont="1" applyBorder="1" applyAlignment="1">
      <alignment vertical="center"/>
    </xf>
    <xf numFmtId="177" fontId="50" fillId="0" borderId="61" xfId="0" applyNumberFormat="1" applyFont="1" applyBorder="1" applyAlignment="1">
      <alignment vertical="center"/>
    </xf>
    <xf numFmtId="177" fontId="50" fillId="0" borderId="13" xfId="0" applyNumberFormat="1" applyFont="1" applyBorder="1" applyAlignment="1">
      <alignment vertical="center"/>
    </xf>
    <xf numFmtId="185" fontId="50" fillId="0" borderId="49" xfId="0" applyNumberFormat="1" applyFont="1" applyBorder="1" applyAlignment="1">
      <alignment vertical="center"/>
    </xf>
    <xf numFmtId="177" fontId="48" fillId="0" borderId="134" xfId="0" applyNumberFormat="1" applyFont="1" applyBorder="1" applyAlignment="1">
      <alignment vertical="center"/>
    </xf>
    <xf numFmtId="176" fontId="48" fillId="0" borderId="41" xfId="0" applyNumberFormat="1" applyFont="1" applyBorder="1" applyAlignment="1">
      <alignment vertical="center"/>
    </xf>
    <xf numFmtId="0" fontId="48" fillId="0" borderId="99" xfId="0" applyFont="1" applyBorder="1" applyAlignment="1">
      <alignment/>
    </xf>
    <xf numFmtId="185" fontId="48" fillId="0" borderId="135" xfId="0" applyNumberFormat="1" applyFont="1" applyBorder="1" applyAlignment="1">
      <alignment vertical="center"/>
    </xf>
    <xf numFmtId="4" fontId="48" fillId="0" borderId="201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176" fontId="50" fillId="0" borderId="10" xfId="0" applyNumberFormat="1" applyFont="1" applyBorder="1" applyAlignment="1">
      <alignment vertical="center"/>
    </xf>
    <xf numFmtId="177" fontId="50" fillId="36" borderId="13" xfId="0" applyNumberFormat="1" applyFont="1" applyFill="1" applyBorder="1" applyAlignment="1">
      <alignment vertical="center"/>
    </xf>
    <xf numFmtId="177" fontId="50" fillId="36" borderId="478" xfId="0" applyNumberFormat="1" applyFont="1" applyFill="1" applyBorder="1" applyAlignment="1">
      <alignment vertical="center"/>
    </xf>
    <xf numFmtId="185" fontId="50" fillId="36" borderId="49" xfId="0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horizontal="right" vertical="center" wrapText="1"/>
    </xf>
    <xf numFmtId="0" fontId="50" fillId="0" borderId="0" xfId="0" applyFont="1" applyFill="1" applyAlignment="1">
      <alignment vertical="center"/>
    </xf>
    <xf numFmtId="0" fontId="48" fillId="0" borderId="21" xfId="0" applyFont="1" applyFill="1" applyBorder="1" applyAlignment="1">
      <alignment vertical="center"/>
    </xf>
    <xf numFmtId="0" fontId="50" fillId="0" borderId="166" xfId="0" applyFont="1" applyFill="1" applyBorder="1" applyAlignment="1">
      <alignment vertical="center"/>
    </xf>
    <xf numFmtId="4" fontId="48" fillId="0" borderId="0" xfId="0" applyNumberFormat="1" applyFont="1" applyFill="1" applyAlignment="1">
      <alignment vertical="center"/>
    </xf>
    <xf numFmtId="0" fontId="48" fillId="0" borderId="64" xfId="0" applyFont="1" applyFill="1" applyBorder="1" applyAlignment="1">
      <alignment vertical="center"/>
    </xf>
    <xf numFmtId="185" fontId="48" fillId="0" borderId="99" xfId="0" applyNumberFormat="1" applyFont="1" applyFill="1" applyBorder="1" applyAlignment="1">
      <alignment vertical="center"/>
    </xf>
    <xf numFmtId="185" fontId="48" fillId="0" borderId="103" xfId="0" applyNumberFormat="1" applyFont="1" applyFill="1" applyBorder="1" applyAlignment="1">
      <alignment vertical="center"/>
    </xf>
    <xf numFmtId="177" fontId="48" fillId="0" borderId="479" xfId="0" applyNumberFormat="1" applyFont="1" applyFill="1" applyBorder="1" applyAlignment="1">
      <alignment vertical="center"/>
    </xf>
    <xf numFmtId="177" fontId="48" fillId="0" borderId="413" xfId="0" applyNumberFormat="1" applyFont="1" applyFill="1" applyBorder="1" applyAlignment="1">
      <alignment vertical="center"/>
    </xf>
    <xf numFmtId="185" fontId="48" fillId="0" borderId="413" xfId="0" applyNumberFormat="1" applyFont="1" applyFill="1" applyBorder="1" applyAlignment="1">
      <alignment vertical="center"/>
    </xf>
    <xf numFmtId="185" fontId="48" fillId="0" borderId="10" xfId="0" applyNumberFormat="1" applyFont="1" applyFill="1" applyBorder="1" applyAlignment="1">
      <alignment vertical="center"/>
    </xf>
    <xf numFmtId="185" fontId="48" fillId="0" borderId="13" xfId="0" applyNumberFormat="1" applyFont="1" applyFill="1" applyBorder="1" applyAlignment="1">
      <alignment vertical="center"/>
    </xf>
    <xf numFmtId="177" fontId="48" fillId="0" borderId="480" xfId="0" applyNumberFormat="1" applyFont="1" applyFill="1" applyBorder="1" applyAlignment="1">
      <alignment vertical="center"/>
    </xf>
    <xf numFmtId="177" fontId="48" fillId="0" borderId="11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9" fontId="48" fillId="0" borderId="10" xfId="0" applyNumberFormat="1" applyFont="1" applyFill="1" applyBorder="1" applyAlignment="1">
      <alignment vertical="center"/>
    </xf>
    <xf numFmtId="177" fontId="48" fillId="0" borderId="21" xfId="0" applyNumberFormat="1" applyFont="1" applyFill="1" applyBorder="1" applyAlignment="1">
      <alignment vertical="center"/>
    </xf>
    <xf numFmtId="185" fontId="48" fillId="0" borderId="21" xfId="0" applyNumberFormat="1" applyFont="1" applyFill="1" applyBorder="1" applyAlignment="1">
      <alignment vertical="center"/>
    </xf>
    <xf numFmtId="185" fontId="48" fillId="0" borderId="19" xfId="0" applyNumberFormat="1" applyFont="1" applyFill="1" applyBorder="1" applyAlignment="1">
      <alignment vertical="center"/>
    </xf>
    <xf numFmtId="177" fontId="48" fillId="0" borderId="481" xfId="0" applyNumberFormat="1" applyFont="1" applyFill="1" applyBorder="1" applyAlignment="1">
      <alignment vertical="center"/>
    </xf>
    <xf numFmtId="177" fontId="48" fillId="0" borderId="15" xfId="0" applyNumberFormat="1" applyFont="1" applyFill="1" applyBorder="1" applyAlignment="1">
      <alignment vertical="center"/>
    </xf>
    <xf numFmtId="177" fontId="50" fillId="0" borderId="166" xfId="0" applyNumberFormat="1" applyFont="1" applyFill="1" applyBorder="1" applyAlignment="1">
      <alignment vertical="center"/>
    </xf>
    <xf numFmtId="9" fontId="50" fillId="0" borderId="166" xfId="0" applyNumberFormat="1" applyFont="1" applyFill="1" applyBorder="1" applyAlignment="1">
      <alignment vertical="center"/>
    </xf>
    <xf numFmtId="185" fontId="50" fillId="0" borderId="160" xfId="0" applyNumberFormat="1" applyFont="1" applyFill="1" applyBorder="1" applyAlignment="1">
      <alignment vertical="center"/>
    </xf>
    <xf numFmtId="177" fontId="50" fillId="0" borderId="160" xfId="0" applyNumberFormat="1" applyFont="1" applyFill="1" applyBorder="1" applyAlignment="1">
      <alignment vertical="center"/>
    </xf>
    <xf numFmtId="177" fontId="50" fillId="0" borderId="482" xfId="0" applyNumberFormat="1" applyFont="1" applyFill="1" applyBorder="1" applyAlignment="1">
      <alignment vertical="center"/>
    </xf>
    <xf numFmtId="177" fontId="50" fillId="0" borderId="171" xfId="0" applyNumberFormat="1" applyFont="1" applyFill="1" applyBorder="1" applyAlignment="1">
      <alignment vertical="center"/>
    </xf>
    <xf numFmtId="185" fontId="50" fillId="0" borderId="166" xfId="0" applyNumberFormat="1" applyFont="1" applyFill="1" applyBorder="1" applyAlignment="1">
      <alignment vertical="center"/>
    </xf>
    <xf numFmtId="0" fontId="48" fillId="0" borderId="99" xfId="0" applyFont="1" applyFill="1" applyBorder="1" applyAlignment="1">
      <alignment vertical="center"/>
    </xf>
    <xf numFmtId="177" fontId="48" fillId="0" borderId="483" xfId="0" applyNumberFormat="1" applyFont="1" applyFill="1" applyBorder="1" applyAlignment="1">
      <alignment vertical="center"/>
    </xf>
    <xf numFmtId="0" fontId="48" fillId="0" borderId="21" xfId="0" applyFont="1" applyFill="1" applyBorder="1" applyAlignment="1">
      <alignment vertical="center" wrapText="1"/>
    </xf>
    <xf numFmtId="177" fontId="48" fillId="0" borderId="64" xfId="0" applyNumberFormat="1" applyFont="1" applyFill="1" applyBorder="1" applyAlignment="1">
      <alignment vertical="center"/>
    </xf>
    <xf numFmtId="177" fontId="48" fillId="0" borderId="484" xfId="0" applyNumberFormat="1" applyFont="1" applyFill="1" applyBorder="1" applyAlignment="1">
      <alignment vertical="center"/>
    </xf>
    <xf numFmtId="177" fontId="50" fillId="0" borderId="485" xfId="0" applyNumberFormat="1" applyFont="1" applyFill="1" applyBorder="1" applyAlignment="1">
      <alignment vertical="center"/>
    </xf>
    <xf numFmtId="185" fontId="48" fillId="0" borderId="411" xfId="0" applyNumberFormat="1" applyFont="1" applyFill="1" applyBorder="1" applyAlignment="1">
      <alignment vertical="center"/>
    </xf>
    <xf numFmtId="177" fontId="48" fillId="0" borderId="100" xfId="0" applyNumberFormat="1" applyFont="1" applyFill="1" applyBorder="1" applyAlignment="1">
      <alignment vertical="center"/>
    </xf>
    <xf numFmtId="185" fontId="48" fillId="0" borderId="409" xfId="0" applyNumberFormat="1" applyFont="1" applyFill="1" applyBorder="1" applyAlignment="1">
      <alignment vertical="center"/>
    </xf>
    <xf numFmtId="177" fontId="48" fillId="0" borderId="21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 wrapText="1"/>
    </xf>
    <xf numFmtId="0" fontId="50" fillId="35" borderId="417" xfId="0" applyFont="1" applyFill="1" applyBorder="1" applyAlignment="1">
      <alignment horizontal="center" vertical="center" wrapText="1"/>
    </xf>
    <xf numFmtId="0" fontId="50" fillId="35" borderId="434" xfId="0" applyFont="1" applyFill="1" applyBorder="1" applyAlignment="1">
      <alignment horizontal="center" vertical="center" wrapText="1"/>
    </xf>
    <xf numFmtId="4" fontId="50" fillId="36" borderId="103" xfId="0" applyNumberFormat="1" applyFont="1" applyFill="1" applyBorder="1" applyAlignment="1">
      <alignment vertical="center" wrapText="1"/>
    </xf>
    <xf numFmtId="177" fontId="50" fillId="36" borderId="99" xfId="0" applyNumberFormat="1" applyFont="1" applyFill="1" applyBorder="1" applyAlignment="1">
      <alignment vertical="center" wrapText="1"/>
    </xf>
    <xf numFmtId="185" fontId="50" fillId="36" borderId="99" xfId="0" applyNumberFormat="1" applyFont="1" applyFill="1" applyBorder="1" applyAlignment="1">
      <alignment vertical="center"/>
    </xf>
    <xf numFmtId="185" fontId="50" fillId="36" borderId="103" xfId="0" applyNumberFormat="1" applyFont="1" applyFill="1" applyBorder="1" applyAlignment="1">
      <alignment vertical="center"/>
    </xf>
    <xf numFmtId="0" fontId="49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vertical="center"/>
    </xf>
    <xf numFmtId="4" fontId="48" fillId="0" borderId="0" xfId="0" applyNumberFormat="1" applyFont="1" applyAlignment="1">
      <alignment vertical="center"/>
    </xf>
    <xf numFmtId="4" fontId="50" fillId="0" borderId="0" xfId="0" applyNumberFormat="1" applyFont="1" applyFill="1" applyAlignment="1">
      <alignment vertical="center"/>
    </xf>
    <xf numFmtId="0" fontId="48" fillId="0" borderId="13" xfId="0" applyFont="1" applyBorder="1" applyAlignment="1">
      <alignment vertical="center"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vertical="center"/>
    </xf>
    <xf numFmtId="0" fontId="48" fillId="36" borderId="19" xfId="0" applyFont="1" applyFill="1" applyBorder="1" applyAlignment="1">
      <alignment vertical="center"/>
    </xf>
    <xf numFmtId="4" fontId="48" fillId="0" borderId="440" xfId="0" applyNumberFormat="1" applyFont="1" applyBorder="1" applyAlignment="1">
      <alignment vertical="center"/>
    </xf>
    <xf numFmtId="4" fontId="48" fillId="0" borderId="486" xfId="0" applyNumberFormat="1" applyFont="1" applyBorder="1" applyAlignment="1">
      <alignment vertical="center"/>
    </xf>
    <xf numFmtId="4" fontId="48" fillId="0" borderId="487" xfId="0" applyNumberFormat="1" applyFont="1" applyBorder="1" applyAlignment="1">
      <alignment vertical="center"/>
    </xf>
    <xf numFmtId="4" fontId="48" fillId="0" borderId="488" xfId="0" applyNumberFormat="1" applyFont="1" applyBorder="1" applyAlignment="1">
      <alignment vertical="center"/>
    </xf>
    <xf numFmtId="4" fontId="48" fillId="0" borderId="489" xfId="0" applyNumberFormat="1" applyFont="1" applyBorder="1" applyAlignment="1">
      <alignment vertical="center"/>
    </xf>
    <xf numFmtId="4" fontId="48" fillId="0" borderId="488" xfId="0" applyNumberFormat="1" applyFont="1" applyFill="1" applyBorder="1" applyAlignment="1">
      <alignment vertical="center"/>
    </xf>
    <xf numFmtId="0" fontId="48" fillId="0" borderId="19" xfId="0" applyFont="1" applyBorder="1" applyAlignment="1">
      <alignment vertical="center"/>
    </xf>
    <xf numFmtId="4" fontId="48" fillId="0" borderId="490" xfId="0" applyNumberFormat="1" applyFont="1" applyBorder="1" applyAlignment="1">
      <alignment vertical="center"/>
    </xf>
    <xf numFmtId="4" fontId="48" fillId="0" borderId="491" xfId="0" applyNumberFormat="1" applyFont="1" applyBorder="1" applyAlignment="1">
      <alignment vertical="center"/>
    </xf>
    <xf numFmtId="4" fontId="48" fillId="0" borderId="492" xfId="0" applyNumberFormat="1" applyFont="1" applyBorder="1" applyAlignment="1">
      <alignment vertical="center"/>
    </xf>
    <xf numFmtId="4" fontId="48" fillId="0" borderId="493" xfId="0" applyNumberFormat="1" applyFont="1" applyBorder="1" applyAlignment="1">
      <alignment vertical="center"/>
    </xf>
    <xf numFmtId="4" fontId="48" fillId="0" borderId="494" xfId="0" applyNumberFormat="1" applyFont="1" applyBorder="1" applyAlignment="1">
      <alignment vertical="center"/>
    </xf>
    <xf numFmtId="0" fontId="50" fillId="0" borderId="162" xfId="0" applyFont="1" applyFill="1" applyBorder="1" applyAlignment="1">
      <alignment vertical="center"/>
    </xf>
    <xf numFmtId="4" fontId="50" fillId="0" borderId="445" xfId="0" applyNumberFormat="1" applyFont="1" applyBorder="1" applyAlignment="1">
      <alignment vertical="center"/>
    </xf>
    <xf numFmtId="4" fontId="50" fillId="0" borderId="495" xfId="0" applyNumberFormat="1" applyFont="1" applyFill="1" applyBorder="1" applyAlignment="1">
      <alignment vertical="center"/>
    </xf>
    <xf numFmtId="4" fontId="50" fillId="0" borderId="496" xfId="0" applyNumberFormat="1" applyFont="1" applyFill="1" applyBorder="1" applyAlignment="1">
      <alignment vertical="center"/>
    </xf>
    <xf numFmtId="4" fontId="50" fillId="0" borderId="497" xfId="0" applyNumberFormat="1" applyFont="1" applyFill="1" applyBorder="1" applyAlignment="1">
      <alignment vertical="center"/>
    </xf>
    <xf numFmtId="4" fontId="50" fillId="0" borderId="498" xfId="0" applyNumberFormat="1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4" fontId="48" fillId="33" borderId="486" xfId="0" applyNumberFormat="1" applyFont="1" applyFill="1" applyBorder="1" applyAlignment="1">
      <alignment vertical="center"/>
    </xf>
    <xf numFmtId="4" fontId="48" fillId="33" borderId="487" xfId="0" applyNumberFormat="1" applyFont="1" applyFill="1" applyBorder="1" applyAlignment="1">
      <alignment vertical="center"/>
    </xf>
    <xf numFmtId="4" fontId="48" fillId="33" borderId="488" xfId="0" applyNumberFormat="1" applyFont="1" applyFill="1" applyBorder="1" applyAlignment="1">
      <alignment vertical="center"/>
    </xf>
    <xf numFmtId="4" fontId="48" fillId="33" borderId="489" xfId="0" applyNumberFormat="1" applyFont="1" applyFill="1" applyBorder="1" applyAlignment="1">
      <alignment vertical="center"/>
    </xf>
    <xf numFmtId="4" fontId="48" fillId="36" borderId="499" xfId="0" applyNumberFormat="1" applyFont="1" applyFill="1" applyBorder="1" applyAlignment="1">
      <alignment vertical="center"/>
    </xf>
    <xf numFmtId="4" fontId="48" fillId="36" borderId="491" xfId="0" applyNumberFormat="1" applyFont="1" applyFill="1" applyBorder="1" applyAlignment="1">
      <alignment vertical="center"/>
    </xf>
    <xf numFmtId="4" fontId="48" fillId="36" borderId="492" xfId="0" applyNumberFormat="1" applyFont="1" applyFill="1" applyBorder="1" applyAlignment="1">
      <alignment vertical="center"/>
    </xf>
    <xf numFmtId="4" fontId="48" fillId="36" borderId="493" xfId="0" applyNumberFormat="1" applyFont="1" applyFill="1" applyBorder="1" applyAlignment="1">
      <alignment vertical="center"/>
    </xf>
    <xf numFmtId="4" fontId="48" fillId="36" borderId="494" xfId="0" applyNumberFormat="1" applyFont="1" applyFill="1" applyBorder="1" applyAlignment="1">
      <alignment vertical="center"/>
    </xf>
    <xf numFmtId="0" fontId="50" fillId="36" borderId="441" xfId="0" applyFont="1" applyFill="1" applyBorder="1" applyAlignment="1">
      <alignment vertical="center"/>
    </xf>
    <xf numFmtId="4" fontId="50" fillId="36" borderId="445" xfId="0" applyNumberFormat="1" applyFont="1" applyFill="1" applyBorder="1" applyAlignment="1">
      <alignment vertical="center"/>
    </xf>
    <xf numFmtId="4" fontId="50" fillId="36" borderId="495" xfId="0" applyNumberFormat="1" applyFont="1" applyFill="1" applyBorder="1" applyAlignment="1">
      <alignment vertical="center"/>
    </xf>
    <xf numFmtId="4" fontId="50" fillId="36" borderId="496" xfId="0" applyNumberFormat="1" applyFont="1" applyFill="1" applyBorder="1" applyAlignment="1">
      <alignment vertical="center"/>
    </xf>
    <xf numFmtId="4" fontId="50" fillId="36" borderId="497" xfId="0" applyNumberFormat="1" applyFont="1" applyFill="1" applyBorder="1" applyAlignment="1">
      <alignment vertical="center"/>
    </xf>
    <xf numFmtId="4" fontId="50" fillId="36" borderId="498" xfId="0" applyNumberFormat="1" applyFont="1" applyFill="1" applyBorder="1" applyAlignment="1">
      <alignment vertical="center"/>
    </xf>
    <xf numFmtId="0" fontId="50" fillId="35" borderId="500" xfId="0" applyFont="1" applyFill="1" applyBorder="1" applyAlignment="1">
      <alignment horizontal="center" vertical="center" wrapText="1"/>
    </xf>
    <xf numFmtId="0" fontId="50" fillId="35" borderId="50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right" vertical="center" wrapText="1"/>
    </xf>
    <xf numFmtId="0" fontId="50" fillId="0" borderId="361" xfId="0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8" fillId="0" borderId="502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6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7" fillId="35" borderId="10" xfId="0" applyFont="1" applyFill="1" applyBorder="1" applyAlignment="1">
      <alignment horizontal="center" vertical="center"/>
    </xf>
    <xf numFmtId="0" fontId="57" fillId="0" borderId="503" xfId="0" applyFont="1" applyBorder="1" applyAlignment="1">
      <alignment vertical="center" wrapText="1"/>
    </xf>
    <xf numFmtId="4" fontId="57" fillId="0" borderId="504" xfId="0" applyNumberFormat="1" applyFont="1" applyBorder="1" applyAlignment="1">
      <alignment vertical="center"/>
    </xf>
    <xf numFmtId="4" fontId="57" fillId="0" borderId="505" xfId="0" applyNumberFormat="1" applyFont="1" applyBorder="1" applyAlignment="1">
      <alignment vertical="center"/>
    </xf>
    <xf numFmtId="4" fontId="57" fillId="0" borderId="506" xfId="0" applyNumberFormat="1" applyFont="1" applyBorder="1" applyAlignment="1">
      <alignment vertical="center"/>
    </xf>
    <xf numFmtId="4" fontId="57" fillId="0" borderId="142" xfId="0" applyNumberFormat="1" applyFont="1" applyBorder="1" applyAlignment="1">
      <alignment vertical="center"/>
    </xf>
    <xf numFmtId="4" fontId="57" fillId="0" borderId="504" xfId="0" applyNumberFormat="1" applyFont="1" applyBorder="1" applyAlignment="1">
      <alignment vertical="center"/>
    </xf>
    <xf numFmtId="0" fontId="57" fillId="0" borderId="507" xfId="0" applyFont="1" applyBorder="1" applyAlignment="1">
      <alignment vertical="center" wrapText="1"/>
    </xf>
    <xf numFmtId="4" fontId="57" fillId="0" borderId="508" xfId="0" applyNumberFormat="1" applyFont="1" applyBorder="1" applyAlignment="1">
      <alignment vertical="center"/>
    </xf>
    <xf numFmtId="4" fontId="57" fillId="0" borderId="509" xfId="0" applyNumberFormat="1" applyFont="1" applyBorder="1" applyAlignment="1">
      <alignment vertical="center"/>
    </xf>
    <xf numFmtId="4" fontId="57" fillId="0" borderId="141" xfId="0" applyNumberFormat="1" applyFont="1" applyBorder="1" applyAlignment="1">
      <alignment vertical="center"/>
    </xf>
    <xf numFmtId="4" fontId="57" fillId="0" borderId="507" xfId="0" applyNumberFormat="1" applyFont="1" applyBorder="1" applyAlignment="1">
      <alignment vertical="center"/>
    </xf>
    <xf numFmtId="4" fontId="57" fillId="0" borderId="510" xfId="0" applyNumberFormat="1" applyFont="1" applyBorder="1" applyAlignment="1">
      <alignment vertical="center"/>
    </xf>
    <xf numFmtId="0" fontId="57" fillId="0" borderId="140" xfId="0" applyFont="1" applyBorder="1" applyAlignment="1">
      <alignment vertical="center" wrapText="1"/>
    </xf>
    <xf numFmtId="4" fontId="57" fillId="34" borderId="141" xfId="0" applyNumberFormat="1" applyFont="1" applyFill="1" applyBorder="1" applyAlignment="1">
      <alignment vertical="center"/>
    </xf>
    <xf numFmtId="4" fontId="57" fillId="34" borderId="509" xfId="0" applyNumberFormat="1" applyFont="1" applyFill="1" applyBorder="1" applyAlignment="1">
      <alignment vertical="center"/>
    </xf>
    <xf numFmtId="4" fontId="57" fillId="34" borderId="142" xfId="0" applyNumberFormat="1" applyFont="1" applyFill="1" applyBorder="1" applyAlignment="1">
      <alignment vertical="center"/>
    </xf>
    <xf numFmtId="4" fontId="57" fillId="34" borderId="508" xfId="0" applyNumberFormat="1" applyFont="1" applyFill="1" applyBorder="1" applyAlignment="1">
      <alignment vertical="center"/>
    </xf>
    <xf numFmtId="0" fontId="57" fillId="0" borderId="143" xfId="0" applyFont="1" applyBorder="1" applyAlignment="1">
      <alignment vertical="center" wrapText="1"/>
    </xf>
    <xf numFmtId="4" fontId="57" fillId="0" borderId="146" xfId="0" applyNumberFormat="1" applyFont="1" applyBorder="1" applyAlignment="1">
      <alignment vertical="center"/>
    </xf>
    <xf numFmtId="4" fontId="57" fillId="0" borderId="147" xfId="0" applyNumberFormat="1" applyFont="1" applyBorder="1" applyAlignment="1">
      <alignment vertical="center"/>
    </xf>
    <xf numFmtId="4" fontId="57" fillId="34" borderId="511" xfId="0" applyNumberFormat="1" applyFont="1" applyFill="1" applyBorder="1" applyAlignment="1">
      <alignment vertical="center"/>
    </xf>
    <xf numFmtId="4" fontId="57" fillId="0" borderId="512" xfId="0" applyNumberFormat="1" applyFont="1" applyBorder="1" applyAlignment="1">
      <alignment vertical="center"/>
    </xf>
    <xf numFmtId="0" fontId="62" fillId="36" borderId="513" xfId="0" applyFont="1" applyFill="1" applyBorder="1" applyAlignment="1">
      <alignment vertical="center" wrapText="1"/>
    </xf>
    <xf numFmtId="4" fontId="62" fillId="36" borderId="514" xfId="0" applyNumberFormat="1" applyFont="1" applyFill="1" applyBorder="1" applyAlignment="1">
      <alignment vertical="center"/>
    </xf>
    <xf numFmtId="4" fontId="62" fillId="36" borderId="515" xfId="0" applyNumberFormat="1" applyFont="1" applyFill="1" applyBorder="1" applyAlignment="1">
      <alignment vertical="center"/>
    </xf>
    <xf numFmtId="4" fontId="62" fillId="36" borderId="516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4" fontId="48" fillId="33" borderId="99" xfId="0" applyNumberFormat="1" applyFont="1" applyFill="1" applyBorder="1" applyAlignment="1">
      <alignment horizontal="right" vertical="center"/>
    </xf>
    <xf numFmtId="0" fontId="46" fillId="0" borderId="440" xfId="0" applyFont="1" applyBorder="1" applyAlignment="1">
      <alignment horizontal="left" vertical="center"/>
    </xf>
    <xf numFmtId="0" fontId="46" fillId="0" borderId="177" xfId="0" applyFont="1" applyBorder="1" applyAlignment="1">
      <alignment horizontal="left" vertical="center"/>
    </xf>
    <xf numFmtId="0" fontId="46" fillId="0" borderId="517" xfId="0" applyFont="1" applyBorder="1" applyAlignment="1">
      <alignment horizontal="left" vertical="center"/>
    </xf>
    <xf numFmtId="0" fontId="45" fillId="0" borderId="355" xfId="0" applyFont="1" applyFill="1" applyBorder="1" applyAlignment="1">
      <alignment horizontal="center" vertical="center"/>
    </xf>
    <xf numFmtId="0" fontId="45" fillId="0" borderId="45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50" fillId="33" borderId="408" xfId="0" applyFont="1" applyFill="1" applyBorder="1" applyAlignment="1">
      <alignment horizontal="center" vertical="center" textRotation="90"/>
    </xf>
    <xf numFmtId="0" fontId="50" fillId="33" borderId="355" xfId="0" applyFont="1" applyFill="1" applyBorder="1" applyAlignment="1">
      <alignment horizontal="center" vertical="center" textRotation="90"/>
    </xf>
    <xf numFmtId="0" fontId="50" fillId="33" borderId="421" xfId="0" applyFont="1" applyFill="1" applyBorder="1" applyAlignment="1">
      <alignment horizontal="center" vertical="center" textRotation="90"/>
    </xf>
    <xf numFmtId="49" fontId="50" fillId="33" borderId="434" xfId="0" applyNumberFormat="1" applyFont="1" applyFill="1" applyBorder="1" applyAlignment="1">
      <alignment horizontal="center" vertical="center"/>
    </xf>
    <xf numFmtId="49" fontId="50" fillId="33" borderId="435" xfId="0" applyNumberFormat="1" applyFont="1" applyFill="1" applyBorder="1" applyAlignment="1">
      <alignment horizontal="center" vertical="center"/>
    </xf>
    <xf numFmtId="49" fontId="50" fillId="33" borderId="422" xfId="0" applyNumberFormat="1" applyFont="1" applyFill="1" applyBorder="1" applyAlignment="1">
      <alignment horizontal="center" vertical="center"/>
    </xf>
    <xf numFmtId="4" fontId="48" fillId="0" borderId="21" xfId="0" applyNumberFormat="1" applyFont="1" applyBorder="1" applyAlignment="1">
      <alignment horizontal="right" vertical="center"/>
    </xf>
    <xf numFmtId="4" fontId="48" fillId="0" borderId="99" xfId="0" applyNumberFormat="1" applyFont="1" applyBorder="1" applyAlignment="1">
      <alignment horizontal="right" vertical="center"/>
    </xf>
    <xf numFmtId="4" fontId="48" fillId="0" borderId="409" xfId="0" applyNumberFormat="1" applyFont="1" applyBorder="1" applyAlignment="1">
      <alignment horizontal="right" vertical="center"/>
    </xf>
    <xf numFmtId="4" fontId="48" fillId="0" borderId="64" xfId="0" applyNumberFormat="1" applyFont="1" applyBorder="1" applyAlignment="1">
      <alignment horizontal="right" vertical="center"/>
    </xf>
    <xf numFmtId="0" fontId="50" fillId="33" borderId="347" xfId="0" applyFont="1" applyFill="1" applyBorder="1" applyAlignment="1">
      <alignment horizontal="center" vertical="center" textRotation="90"/>
    </xf>
    <xf numFmtId="0" fontId="51" fillId="33" borderId="0" xfId="0" applyFont="1" applyFill="1" applyBorder="1" applyAlignment="1">
      <alignment horizontal="center" vertical="center"/>
    </xf>
    <xf numFmtId="0" fontId="51" fillId="33" borderId="433" xfId="0" applyFont="1" applyFill="1" applyBorder="1" applyAlignment="1">
      <alignment horizontal="center" vertical="center"/>
    </xf>
    <xf numFmtId="0" fontId="51" fillId="33" borderId="425" xfId="0" applyFont="1" applyFill="1" applyBorder="1" applyAlignment="1">
      <alignment horizontal="center" vertical="center"/>
    </xf>
    <xf numFmtId="4" fontId="48" fillId="33" borderId="21" xfId="0" applyNumberFormat="1" applyFont="1" applyFill="1" applyBorder="1" applyAlignment="1">
      <alignment horizontal="right" vertical="center"/>
    </xf>
    <xf numFmtId="4" fontId="48" fillId="33" borderId="64" xfId="0" applyNumberFormat="1" applyFont="1" applyFill="1" applyBorder="1" applyAlignment="1">
      <alignment horizontal="right" vertical="center"/>
    </xf>
    <xf numFmtId="4" fontId="48" fillId="33" borderId="99" xfId="0" applyNumberFormat="1" applyFont="1" applyFill="1" applyBorder="1" applyAlignment="1">
      <alignment horizontal="right" vertical="center"/>
    </xf>
    <xf numFmtId="185" fontId="48" fillId="33" borderId="416" xfId="0" applyNumberFormat="1" applyFont="1" applyFill="1" applyBorder="1" applyAlignment="1">
      <alignment horizontal="right" vertical="center"/>
    </xf>
    <xf numFmtId="185" fontId="48" fillId="33" borderId="367" xfId="0" applyNumberFormat="1" applyFont="1" applyFill="1" applyBorder="1" applyAlignment="1">
      <alignment horizontal="right" vertical="center"/>
    </xf>
    <xf numFmtId="185" fontId="48" fillId="33" borderId="348" xfId="0" applyNumberFormat="1" applyFont="1" applyFill="1" applyBorder="1" applyAlignment="1">
      <alignment horizontal="right" vertical="center"/>
    </xf>
    <xf numFmtId="185" fontId="48" fillId="33" borderId="412" xfId="0" applyNumberFormat="1" applyFont="1" applyFill="1" applyBorder="1" applyAlignment="1">
      <alignment horizontal="right" vertical="center"/>
    </xf>
    <xf numFmtId="0" fontId="47" fillId="33" borderId="433" xfId="0" applyFont="1" applyFill="1" applyBorder="1" applyAlignment="1">
      <alignment horizontal="center" vertical="center" wrapText="1"/>
    </xf>
    <xf numFmtId="0" fontId="47" fillId="33" borderId="433" xfId="0" applyFont="1" applyFill="1" applyBorder="1" applyAlignment="1">
      <alignment horizontal="center" vertical="center"/>
    </xf>
    <xf numFmtId="0" fontId="48" fillId="0" borderId="367" xfId="0" applyFont="1" applyBorder="1" applyAlignment="1">
      <alignment horizontal="right" vertical="center"/>
    </xf>
    <xf numFmtId="0" fontId="48" fillId="0" borderId="348" xfId="0" applyFont="1" applyBorder="1" applyAlignment="1">
      <alignment horizontal="right" vertical="center"/>
    </xf>
    <xf numFmtId="0" fontId="48" fillId="0" borderId="355" xfId="0" applyFont="1" applyBorder="1" applyAlignment="1">
      <alignment horizontal="center" vertical="center" textRotation="90"/>
    </xf>
    <xf numFmtId="0" fontId="48" fillId="0" borderId="433" xfId="0" applyFont="1" applyFill="1" applyBorder="1" applyAlignment="1" applyProtection="1">
      <alignment horizontal="right" vertical="center" wrapText="1"/>
      <protection locked="0"/>
    </xf>
    <xf numFmtId="0" fontId="47" fillId="0" borderId="433" xfId="0" applyFont="1" applyFill="1" applyBorder="1" applyAlignment="1">
      <alignment horizontal="center" vertical="center" wrapText="1"/>
    </xf>
    <xf numFmtId="49" fontId="46" fillId="0" borderId="64" xfId="0" applyNumberFormat="1" applyFont="1" applyFill="1" applyBorder="1" applyAlignment="1">
      <alignment horizontal="center" vertical="center" wrapText="1"/>
    </xf>
    <xf numFmtId="49" fontId="46" fillId="0" borderId="64" xfId="0" applyNumberFormat="1" applyFont="1" applyFill="1" applyBorder="1" applyAlignment="1">
      <alignment horizontal="center" vertical="center"/>
    </xf>
    <xf numFmtId="49" fontId="46" fillId="0" borderId="99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left" vertical="center"/>
    </xf>
    <xf numFmtId="0" fontId="46" fillId="0" borderId="177" xfId="0" applyFont="1" applyFill="1" applyBorder="1" applyAlignment="1">
      <alignment horizontal="left" vertical="center"/>
    </xf>
    <xf numFmtId="49" fontId="46" fillId="0" borderId="21" xfId="0" applyNumberFormat="1" applyFont="1" applyFill="1" applyBorder="1" applyAlignment="1">
      <alignment horizontal="center" vertical="center" wrapText="1"/>
    </xf>
    <xf numFmtId="0" fontId="45" fillId="0" borderId="64" xfId="0" applyFont="1" applyFill="1" applyBorder="1" applyAlignment="1">
      <alignment horizontal="center" vertical="center"/>
    </xf>
    <xf numFmtId="0" fontId="45" fillId="0" borderId="99" xfId="0" applyFont="1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/>
    </xf>
    <xf numFmtId="0" fontId="45" fillId="35" borderId="18" xfId="0" applyFont="1" applyFill="1" applyBorder="1" applyAlignment="1">
      <alignment horizontal="center" vertical="center"/>
    </xf>
    <xf numFmtId="49" fontId="46" fillId="35" borderId="10" xfId="0" applyNumberFormat="1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177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45" fillId="35" borderId="99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49" fontId="46" fillId="36" borderId="162" xfId="0" applyNumberFormat="1" applyFont="1" applyFill="1" applyBorder="1" applyAlignment="1">
      <alignment horizontal="center" vertical="center"/>
    </xf>
    <xf numFmtId="49" fontId="46" fillId="36" borderId="333" xfId="0" applyNumberFormat="1" applyFont="1" applyFill="1" applyBorder="1" applyAlignment="1">
      <alignment horizontal="center" vertical="center"/>
    </xf>
    <xf numFmtId="0" fontId="46" fillId="35" borderId="518" xfId="0" applyFont="1" applyFill="1" applyBorder="1" applyAlignment="1" applyProtection="1">
      <alignment horizontal="center" vertical="center"/>
      <protection/>
    </xf>
    <xf numFmtId="0" fontId="46" fillId="35" borderId="413" xfId="0" applyFont="1" applyFill="1" applyBorder="1" applyAlignment="1" applyProtection="1">
      <alignment horizontal="center" vertical="center"/>
      <protection/>
    </xf>
    <xf numFmtId="0" fontId="45" fillId="35" borderId="415" xfId="0" applyFont="1" applyFill="1" applyBorder="1" applyAlignment="1">
      <alignment horizontal="center" vertical="center"/>
    </xf>
    <xf numFmtId="0" fontId="46" fillId="35" borderId="415" xfId="0" applyFont="1" applyFill="1" applyBorder="1" applyAlignment="1" applyProtection="1">
      <alignment horizontal="center" vertical="center" wrapText="1"/>
      <protection/>
    </xf>
    <xf numFmtId="0" fontId="46" fillId="35" borderId="519" xfId="0" applyFont="1" applyFill="1" applyBorder="1" applyAlignment="1" applyProtection="1">
      <alignment horizontal="center" vertical="center" wrapText="1"/>
      <protection/>
    </xf>
    <xf numFmtId="0" fontId="46" fillId="35" borderId="520" xfId="0" applyFont="1" applyFill="1" applyBorder="1" applyAlignment="1" applyProtection="1">
      <alignment horizontal="center" vertical="center" wrapText="1"/>
      <protection/>
    </xf>
    <xf numFmtId="49" fontId="46" fillId="0" borderId="99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64" xfId="0" applyFont="1" applyFill="1" applyBorder="1" applyAlignment="1">
      <alignment horizontal="center" vertical="center" wrapText="1"/>
    </xf>
    <xf numFmtId="49" fontId="46" fillId="0" borderId="177" xfId="0" applyNumberFormat="1" applyFont="1" applyFill="1" applyBorder="1" applyAlignment="1">
      <alignment horizontal="left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46" fillId="0" borderId="99" xfId="0" applyFont="1" applyFill="1" applyBorder="1" applyAlignment="1">
      <alignment horizontal="center" vertical="center"/>
    </xf>
    <xf numFmtId="0" fontId="47" fillId="0" borderId="521" xfId="0" applyFont="1" applyFill="1" applyBorder="1" applyAlignment="1">
      <alignment horizontal="center" vertical="center" wrapText="1"/>
    </xf>
    <xf numFmtId="0" fontId="54" fillId="0" borderId="519" xfId="0" applyFont="1" applyFill="1" applyBorder="1" applyAlignment="1">
      <alignment vertical="center"/>
    </xf>
    <xf numFmtId="0" fontId="50" fillId="0" borderId="522" xfId="0" applyFont="1" applyFill="1" applyBorder="1" applyAlignment="1">
      <alignment horizontal="center" vertical="center"/>
    </xf>
    <xf numFmtId="0" fontId="50" fillId="0" borderId="435" xfId="0" applyFont="1" applyFill="1" applyBorder="1" applyAlignment="1">
      <alignment horizontal="center" vertical="center"/>
    </xf>
    <xf numFmtId="0" fontId="50" fillId="0" borderId="523" xfId="0" applyFont="1" applyFill="1" applyBorder="1" applyAlignment="1">
      <alignment horizontal="center" vertical="center"/>
    </xf>
    <xf numFmtId="0" fontId="50" fillId="0" borderId="521" xfId="0" applyFont="1" applyFill="1" applyBorder="1" applyAlignment="1">
      <alignment horizontal="center" vertical="center"/>
    </xf>
    <xf numFmtId="0" fontId="50" fillId="0" borderId="519" xfId="0" applyFont="1" applyFill="1" applyBorder="1" applyAlignment="1">
      <alignment horizontal="center" vertical="center"/>
    </xf>
    <xf numFmtId="0" fontId="50" fillId="0" borderId="524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 textRotation="90"/>
    </xf>
    <xf numFmtId="0" fontId="0" fillId="0" borderId="64" xfId="0" applyFill="1" applyBorder="1" applyAlignment="1">
      <alignment horizontal="center" vertical="center" textRotation="90"/>
    </xf>
    <xf numFmtId="0" fontId="0" fillId="0" borderId="99" xfId="0" applyFill="1" applyBorder="1" applyAlignment="1">
      <alignment horizontal="center" vertical="center" textRotation="90"/>
    </xf>
    <xf numFmtId="176" fontId="12" fillId="36" borderId="13" xfId="0" applyNumberFormat="1" applyFont="1" applyFill="1" applyBorder="1" applyAlignment="1">
      <alignment horizontal="left" vertical="center"/>
    </xf>
    <xf numFmtId="176" fontId="12" fillId="36" borderId="177" xfId="0" applyNumberFormat="1" applyFont="1" applyFill="1" applyBorder="1" applyAlignment="1">
      <alignment horizontal="left" vertical="center"/>
    </xf>
    <xf numFmtId="176" fontId="21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12" fillId="0" borderId="19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12" fillId="0" borderId="103" xfId="0" applyNumberFormat="1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6" fillId="0" borderId="525" xfId="0" applyNumberFormat="1" applyFont="1" applyBorder="1" applyAlignment="1">
      <alignment vertical="center"/>
    </xf>
    <xf numFmtId="176" fontId="6" fillId="0" borderId="526" xfId="0" applyNumberFormat="1" applyFont="1" applyBorder="1" applyAlignment="1">
      <alignment vertical="center"/>
    </xf>
    <xf numFmtId="176" fontId="6" fillId="0" borderId="527" xfId="0" applyNumberFormat="1" applyFont="1" applyBorder="1" applyAlignment="1">
      <alignment vertical="center"/>
    </xf>
    <xf numFmtId="176" fontId="6" fillId="0" borderId="528" xfId="0" applyNumberFormat="1" applyFont="1" applyBorder="1" applyAlignment="1">
      <alignment vertical="center"/>
    </xf>
    <xf numFmtId="176" fontId="6" fillId="0" borderId="529" xfId="0" applyNumberFormat="1" applyFont="1" applyBorder="1" applyAlignment="1">
      <alignment vertical="center"/>
    </xf>
    <xf numFmtId="176" fontId="6" fillId="0" borderId="530" xfId="0" applyNumberFormat="1" applyFont="1" applyBorder="1" applyAlignment="1">
      <alignment vertical="center"/>
    </xf>
    <xf numFmtId="176" fontId="5" fillId="0" borderId="154" xfId="0" applyNumberFormat="1" applyFont="1" applyBorder="1" applyAlignment="1">
      <alignment vertical="center"/>
    </xf>
    <xf numFmtId="176" fontId="5" fillId="0" borderId="531" xfId="0" applyNumberFormat="1" applyFont="1" applyBorder="1" applyAlignment="1">
      <alignment vertical="center"/>
    </xf>
    <xf numFmtId="176" fontId="5" fillId="0" borderId="532" xfId="0" applyNumberFormat="1" applyFont="1" applyBorder="1" applyAlignment="1">
      <alignment vertical="center"/>
    </xf>
    <xf numFmtId="0" fontId="20" fillId="0" borderId="21" xfId="0" applyFont="1" applyBorder="1" applyAlignment="1">
      <alignment horizontal="center" vertical="center" textRotation="90"/>
    </xf>
    <xf numFmtId="0" fontId="20" fillId="0" borderId="64" xfId="0" applyFont="1" applyBorder="1" applyAlignment="1">
      <alignment horizontal="center" vertical="center" textRotation="90"/>
    </xf>
    <xf numFmtId="0" fontId="20" fillId="0" borderId="99" xfId="0" applyFont="1" applyBorder="1" applyAlignment="1">
      <alignment horizontal="center" vertical="center" textRotation="90"/>
    </xf>
    <xf numFmtId="176" fontId="12" fillId="0" borderId="13" xfId="0" applyNumberFormat="1" applyFont="1" applyFill="1" applyBorder="1" applyAlignment="1">
      <alignment horizontal="left" vertical="center"/>
    </xf>
    <xf numFmtId="176" fontId="12" fillId="0" borderId="177" xfId="0" applyNumberFormat="1" applyFont="1" applyFill="1" applyBorder="1" applyAlignment="1">
      <alignment horizontal="left" vertical="center"/>
    </xf>
    <xf numFmtId="0" fontId="20" fillId="0" borderId="100" xfId="0" applyFont="1" applyBorder="1" applyAlignment="1">
      <alignment horizontal="center" vertical="center" textRotation="90"/>
    </xf>
    <xf numFmtId="176" fontId="4" fillId="36" borderId="533" xfId="0" applyNumberFormat="1" applyFont="1" applyFill="1" applyBorder="1" applyAlignment="1">
      <alignment vertical="center"/>
    </xf>
    <xf numFmtId="0" fontId="22" fillId="36" borderId="534" xfId="0" applyFont="1" applyFill="1" applyBorder="1" applyAlignment="1">
      <alignment vertical="center"/>
    </xf>
    <xf numFmtId="0" fontId="0" fillId="0" borderId="64" xfId="0" applyBorder="1" applyAlignment="1">
      <alignment horizontal="center" vertical="center" textRotation="90"/>
    </xf>
    <xf numFmtId="0" fontId="0" fillId="0" borderId="99" xfId="0" applyBorder="1" applyAlignment="1">
      <alignment horizontal="center" vertical="center" textRotation="90"/>
    </xf>
    <xf numFmtId="185" fontId="4" fillId="36" borderId="13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176" fontId="12" fillId="36" borderId="13" xfId="0" applyNumberFormat="1" applyFont="1" applyFill="1" applyBorder="1" applyAlignment="1">
      <alignment vertical="center"/>
    </xf>
    <xf numFmtId="176" fontId="12" fillId="36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Fill="1" applyBorder="1" applyAlignment="1">
      <alignment vertical="center" wrapText="1"/>
    </xf>
    <xf numFmtId="176" fontId="6" fillId="0" borderId="5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176" fontId="6" fillId="0" borderId="127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172" xfId="0" applyNumberFormat="1" applyFont="1" applyBorder="1" applyAlignment="1">
      <alignment vertical="center"/>
    </xf>
    <xf numFmtId="176" fontId="6" fillId="0" borderId="100" xfId="0" applyNumberFormat="1" applyFont="1" applyBorder="1" applyAlignment="1">
      <alignment vertical="center"/>
    </xf>
    <xf numFmtId="176" fontId="6" fillId="0" borderId="173" xfId="0" applyNumberFormat="1" applyFont="1" applyBorder="1" applyAlignment="1">
      <alignment vertical="center"/>
    </xf>
    <xf numFmtId="176" fontId="6" fillId="0" borderId="103" xfId="0" applyNumberFormat="1" applyFont="1" applyBorder="1" applyAlignment="1">
      <alignment vertical="center"/>
    </xf>
    <xf numFmtId="176" fontId="6" fillId="0" borderId="174" xfId="0" applyNumberFormat="1" applyFont="1" applyBorder="1" applyAlignment="1">
      <alignment vertical="center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77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176" fontId="12" fillId="35" borderId="13" xfId="0" applyNumberFormat="1" applyFont="1" applyFill="1" applyBorder="1" applyAlignment="1">
      <alignment horizontal="center" vertical="center"/>
    </xf>
    <xf numFmtId="176" fontId="12" fillId="35" borderId="177" xfId="0" applyNumberFormat="1" applyFont="1" applyFill="1" applyBorder="1" applyAlignment="1">
      <alignment horizontal="center" vertical="center"/>
    </xf>
    <xf numFmtId="176" fontId="12" fillId="35" borderId="11" xfId="0" applyNumberFormat="1" applyFont="1" applyFill="1" applyBorder="1" applyAlignment="1">
      <alignment horizontal="center" vertical="center"/>
    </xf>
    <xf numFmtId="0" fontId="17" fillId="0" borderId="526" xfId="0" applyFont="1" applyBorder="1" applyAlignment="1">
      <alignment vertical="center"/>
    </xf>
    <xf numFmtId="0" fontId="17" fillId="0" borderId="527" xfId="0" applyFont="1" applyBorder="1" applyAlignment="1">
      <alignment vertical="center"/>
    </xf>
    <xf numFmtId="0" fontId="17" fillId="0" borderId="528" xfId="0" applyFont="1" applyBorder="1" applyAlignment="1">
      <alignment vertical="center"/>
    </xf>
    <xf numFmtId="0" fontId="17" fillId="0" borderId="535" xfId="0" applyFont="1" applyBorder="1" applyAlignment="1">
      <alignment vertical="center"/>
    </xf>
    <xf numFmtId="0" fontId="17" fillId="0" borderId="536" xfId="0" applyFont="1" applyBorder="1" applyAlignment="1">
      <alignment vertical="center"/>
    </xf>
    <xf numFmtId="176" fontId="3" fillId="0" borderId="154" xfId="0" applyNumberFormat="1" applyFont="1" applyBorder="1" applyAlignment="1">
      <alignment vertical="center"/>
    </xf>
    <xf numFmtId="0" fontId="16" fillId="0" borderId="531" xfId="0" applyFont="1" applyBorder="1" applyAlignment="1">
      <alignment vertical="center"/>
    </xf>
    <xf numFmtId="0" fontId="16" fillId="0" borderId="532" xfId="0" applyFont="1" applyBorder="1" applyAlignment="1">
      <alignment vertical="center"/>
    </xf>
    <xf numFmtId="176" fontId="6" fillId="0" borderId="154" xfId="0" applyNumberFormat="1" applyFont="1" applyBorder="1" applyAlignment="1">
      <alignment vertical="center"/>
    </xf>
    <xf numFmtId="176" fontId="6" fillId="0" borderId="531" xfId="0" applyNumberFormat="1" applyFont="1" applyBorder="1" applyAlignment="1">
      <alignment vertical="center"/>
    </xf>
    <xf numFmtId="176" fontId="6" fillId="0" borderId="532" xfId="0" applyNumberFormat="1" applyFont="1" applyBorder="1" applyAlignment="1">
      <alignment vertical="center"/>
    </xf>
    <xf numFmtId="176" fontId="12" fillId="35" borderId="19" xfId="0" applyNumberFormat="1" applyFont="1" applyFill="1" applyBorder="1" applyAlignment="1">
      <alignment horizontal="center" vertical="center"/>
    </xf>
    <xf numFmtId="176" fontId="12" fillId="35" borderId="14" xfId="0" applyNumberFormat="1" applyFont="1" applyFill="1" applyBorder="1" applyAlignment="1">
      <alignment horizontal="center" vertical="center"/>
    </xf>
    <xf numFmtId="176" fontId="12" fillId="35" borderId="103" xfId="0" applyNumberFormat="1" applyFont="1" applyFill="1" applyBorder="1" applyAlignment="1">
      <alignment horizontal="center" vertical="center"/>
    </xf>
    <xf numFmtId="176" fontId="12" fillId="35" borderId="16" xfId="0" applyNumberFormat="1" applyFont="1" applyFill="1" applyBorder="1" applyAlignment="1">
      <alignment horizontal="center" vertical="center"/>
    </xf>
    <xf numFmtId="176" fontId="12" fillId="35" borderId="13" xfId="0" applyNumberFormat="1" applyFont="1" applyFill="1" applyBorder="1" applyAlignment="1">
      <alignment horizontal="center" vertical="center" wrapText="1"/>
    </xf>
    <xf numFmtId="176" fontId="12" fillId="35" borderId="177" xfId="0" applyNumberFormat="1" applyFont="1" applyFill="1" applyBorder="1" applyAlignment="1">
      <alignment horizontal="center" vertical="center" wrapText="1"/>
    </xf>
    <xf numFmtId="176" fontId="12" fillId="35" borderId="11" xfId="0" applyNumberFormat="1" applyFont="1" applyFill="1" applyBorder="1" applyAlignment="1">
      <alignment horizontal="center" vertical="center" wrapText="1"/>
    </xf>
    <xf numFmtId="0" fontId="19" fillId="35" borderId="177" xfId="0" applyFont="1" applyFill="1" applyBorder="1" applyAlignment="1">
      <alignment vertical="center" wrapText="1"/>
    </xf>
    <xf numFmtId="0" fontId="19" fillId="35" borderId="11" xfId="0" applyFont="1" applyFill="1" applyBorder="1" applyAlignment="1">
      <alignment vertical="center" wrapText="1"/>
    </xf>
    <xf numFmtId="0" fontId="0" fillId="0" borderId="76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107" xfId="0" applyBorder="1" applyAlignment="1">
      <alignment vertical="center"/>
    </xf>
    <xf numFmtId="0" fontId="14" fillId="35" borderId="19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8" fillId="35" borderId="103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177" fontId="11" fillId="0" borderId="19" xfId="0" applyNumberFormat="1" applyFont="1" applyBorder="1" applyAlignment="1">
      <alignment vertical="center"/>
    </xf>
    <xf numFmtId="0" fontId="0" fillId="0" borderId="17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3" xfId="0" applyBorder="1" applyAlignment="1">
      <alignment vertical="center"/>
    </xf>
    <xf numFmtId="0" fontId="0" fillId="0" borderId="12" xfId="0" applyBorder="1" applyAlignment="1">
      <alignment vertical="center"/>
    </xf>
    <xf numFmtId="185" fontId="11" fillId="0" borderId="52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27" xfId="0" applyBorder="1" applyAlignment="1">
      <alignment vertical="center"/>
    </xf>
    <xf numFmtId="0" fontId="13" fillId="0" borderId="64" xfId="0" applyFont="1" applyBorder="1" applyAlignment="1">
      <alignment horizontal="center" vertical="center" textRotation="90"/>
    </xf>
    <xf numFmtId="0" fontId="13" fillId="0" borderId="99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0" fillId="0" borderId="537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538" xfId="0" applyBorder="1" applyAlignment="1">
      <alignment vertical="center"/>
    </xf>
    <xf numFmtId="176" fontId="12" fillId="35" borderId="10" xfId="0" applyNumberFormat="1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1" fillId="0" borderId="21" xfId="0" applyFont="1" applyBorder="1" applyAlignment="1">
      <alignment horizontal="center" vertical="center" textRotation="90"/>
    </xf>
    <xf numFmtId="0" fontId="31" fillId="0" borderId="64" xfId="0" applyFont="1" applyBorder="1" applyAlignment="1">
      <alignment horizontal="center" vertical="center" textRotation="90"/>
    </xf>
    <xf numFmtId="0" fontId="31" fillId="0" borderId="99" xfId="0" applyFont="1" applyBorder="1" applyAlignment="1">
      <alignment horizontal="center" vertical="center" textRotation="90"/>
    </xf>
    <xf numFmtId="0" fontId="30" fillId="0" borderId="21" xfId="0" applyFont="1" applyBorder="1" applyAlignment="1">
      <alignment horizontal="center" vertical="center" textRotation="90"/>
    </xf>
    <xf numFmtId="0" fontId="30" fillId="0" borderId="64" xfId="0" applyFont="1" applyBorder="1" applyAlignment="1">
      <alignment horizontal="center" vertical="center" textRotation="90"/>
    </xf>
    <xf numFmtId="0" fontId="30" fillId="0" borderId="99" xfId="0" applyFont="1" applyBorder="1" applyAlignment="1">
      <alignment horizontal="center" vertical="center" textRotation="90"/>
    </xf>
    <xf numFmtId="176" fontId="27" fillId="35" borderId="10" xfId="0" applyNumberFormat="1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vertical="center"/>
    </xf>
    <xf numFmtId="0" fontId="29" fillId="35" borderId="13" xfId="0" applyFont="1" applyFill="1" applyBorder="1" applyAlignment="1">
      <alignment horizontal="center" vertical="center" wrapText="1"/>
    </xf>
    <xf numFmtId="0" fontId="29" fillId="35" borderId="177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 wrapText="1"/>
    </xf>
    <xf numFmtId="176" fontId="27" fillId="35" borderId="13" xfId="0" applyNumberFormat="1" applyFont="1" applyFill="1" applyBorder="1" applyAlignment="1">
      <alignment horizontal="center" vertical="center" wrapText="1"/>
    </xf>
    <xf numFmtId="176" fontId="27" fillId="35" borderId="177" xfId="0" applyNumberFormat="1" applyFont="1" applyFill="1" applyBorder="1" applyAlignment="1">
      <alignment horizontal="center" vertical="center" wrapText="1"/>
    </xf>
    <xf numFmtId="176" fontId="27" fillId="35" borderId="11" xfId="0" applyNumberFormat="1" applyFont="1" applyFill="1" applyBorder="1" applyAlignment="1">
      <alignment horizontal="center" vertical="center" wrapText="1"/>
    </xf>
    <xf numFmtId="176" fontId="36" fillId="33" borderId="12" xfId="0" applyNumberFormat="1" applyFont="1" applyFill="1" applyBorder="1" applyAlignment="1">
      <alignment horizontal="center" vertical="center" wrapText="1"/>
    </xf>
    <xf numFmtId="176" fontId="27" fillId="35" borderId="103" xfId="0" applyNumberFormat="1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vertical="center" wrapText="1"/>
    </xf>
    <xf numFmtId="0" fontId="28" fillId="35" borderId="16" xfId="0" applyFont="1" applyFill="1" applyBorder="1" applyAlignment="1">
      <alignment vertical="center" wrapText="1"/>
    </xf>
    <xf numFmtId="176" fontId="27" fillId="0" borderId="100" xfId="0" applyNumberFormat="1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176" fontId="36" fillId="0" borderId="12" xfId="0" applyNumberFormat="1" applyFont="1" applyBorder="1" applyAlignment="1">
      <alignment horizontal="center" vertical="center" wrapText="1"/>
    </xf>
    <xf numFmtId="176" fontId="48" fillId="0" borderId="21" xfId="0" applyNumberFormat="1" applyFont="1" applyBorder="1" applyAlignment="1">
      <alignment horizontal="center" vertical="center" textRotation="90" wrapText="1"/>
    </xf>
    <xf numFmtId="0" fontId="48" fillId="0" borderId="64" xfId="0" applyFont="1" applyBorder="1" applyAlignment="1">
      <alignment textRotation="90"/>
    </xf>
    <xf numFmtId="0" fontId="48" fillId="0" borderId="99" xfId="0" applyFont="1" applyBorder="1" applyAlignment="1">
      <alignment textRotation="90"/>
    </xf>
    <xf numFmtId="176" fontId="48" fillId="0" borderId="56" xfId="0" applyNumberFormat="1" applyFont="1" applyBorder="1" applyAlignment="1">
      <alignment vertical="center"/>
    </xf>
    <xf numFmtId="176" fontId="48" fillId="0" borderId="47" xfId="0" applyNumberFormat="1" applyFont="1" applyBorder="1" applyAlignment="1">
      <alignment vertical="center"/>
    </xf>
    <xf numFmtId="176" fontId="48" fillId="0" borderId="58" xfId="0" applyNumberFormat="1" applyFont="1" applyBorder="1" applyAlignment="1">
      <alignment vertical="center"/>
    </xf>
    <xf numFmtId="176" fontId="48" fillId="0" borderId="46" xfId="0" applyNumberFormat="1" applyFont="1" applyBorder="1" applyAlignment="1">
      <alignment vertical="center"/>
    </xf>
    <xf numFmtId="176" fontId="48" fillId="0" borderId="67" xfId="0" applyNumberFormat="1" applyFont="1" applyBorder="1" applyAlignment="1">
      <alignment vertical="center"/>
    </xf>
    <xf numFmtId="176" fontId="48" fillId="0" borderId="48" xfId="0" applyNumberFormat="1" applyFont="1" applyBorder="1" applyAlignment="1">
      <alignment vertical="center"/>
    </xf>
    <xf numFmtId="176" fontId="48" fillId="0" borderId="57" xfId="0" applyNumberFormat="1" applyFont="1" applyBorder="1" applyAlignment="1">
      <alignment vertical="center"/>
    </xf>
    <xf numFmtId="176" fontId="48" fillId="0" borderId="59" xfId="0" applyNumberFormat="1" applyFont="1" applyBorder="1" applyAlignment="1">
      <alignment vertical="center"/>
    </xf>
    <xf numFmtId="176" fontId="48" fillId="0" borderId="539" xfId="0" applyNumberFormat="1" applyFont="1" applyBorder="1" applyAlignment="1">
      <alignment vertical="center"/>
    </xf>
    <xf numFmtId="176" fontId="48" fillId="0" borderId="540" xfId="0" applyNumberFormat="1" applyFont="1" applyBorder="1" applyAlignment="1">
      <alignment vertical="center"/>
    </xf>
    <xf numFmtId="176" fontId="48" fillId="0" borderId="541" xfId="0" applyNumberFormat="1" applyFont="1" applyBorder="1" applyAlignment="1">
      <alignment vertical="center"/>
    </xf>
    <xf numFmtId="176" fontId="48" fillId="0" borderId="542" xfId="0" applyNumberFormat="1" applyFont="1" applyBorder="1" applyAlignment="1">
      <alignment vertical="center"/>
    </xf>
    <xf numFmtId="176" fontId="48" fillId="0" borderId="543" xfId="0" applyNumberFormat="1" applyFont="1" applyBorder="1" applyAlignment="1">
      <alignment vertical="center"/>
    </xf>
    <xf numFmtId="176" fontId="48" fillId="0" borderId="544" xfId="0" applyNumberFormat="1" applyFont="1" applyBorder="1" applyAlignment="1">
      <alignment vertical="center"/>
    </xf>
    <xf numFmtId="176" fontId="48" fillId="0" borderId="545" xfId="0" applyNumberFormat="1" applyFont="1" applyBorder="1" applyAlignment="1">
      <alignment vertical="center"/>
    </xf>
    <xf numFmtId="176" fontId="48" fillId="0" borderId="136" xfId="0" applyNumberFormat="1" applyFont="1" applyBorder="1" applyAlignment="1">
      <alignment vertical="center"/>
    </xf>
    <xf numFmtId="176" fontId="48" fillId="0" borderId="98" xfId="0" applyNumberFormat="1" applyFont="1" applyBorder="1" applyAlignment="1">
      <alignment vertical="center"/>
    </xf>
    <xf numFmtId="176" fontId="48" fillId="0" borderId="203" xfId="0" applyNumberFormat="1" applyFont="1" applyBorder="1" applyAlignment="1">
      <alignment vertical="center"/>
    </xf>
    <xf numFmtId="176" fontId="48" fillId="0" borderId="525" xfId="0" applyNumberFormat="1" applyFont="1" applyBorder="1" applyAlignment="1">
      <alignment vertical="center"/>
    </xf>
    <xf numFmtId="176" fontId="48" fillId="0" borderId="526" xfId="0" applyNumberFormat="1" applyFont="1" applyBorder="1" applyAlignment="1">
      <alignment vertical="center"/>
    </xf>
    <xf numFmtId="176" fontId="48" fillId="0" borderId="527" xfId="0" applyNumberFormat="1" applyFont="1" applyBorder="1" applyAlignment="1">
      <alignment vertical="center"/>
    </xf>
    <xf numFmtId="176" fontId="48" fillId="0" borderId="528" xfId="0" applyNumberFormat="1" applyFont="1" applyBorder="1" applyAlignment="1">
      <alignment vertical="center"/>
    </xf>
    <xf numFmtId="176" fontId="48" fillId="0" borderId="529" xfId="0" applyNumberFormat="1" applyFont="1" applyBorder="1" applyAlignment="1">
      <alignment vertical="center"/>
    </xf>
    <xf numFmtId="176" fontId="48" fillId="0" borderId="530" xfId="0" applyNumberFormat="1" applyFont="1" applyBorder="1" applyAlignment="1">
      <alignment vertical="center"/>
    </xf>
    <xf numFmtId="0" fontId="48" fillId="0" borderId="21" xfId="0" applyFont="1" applyBorder="1" applyAlignment="1">
      <alignment horizontal="center" vertical="center" textRotation="90"/>
    </xf>
    <xf numFmtId="0" fontId="48" fillId="0" borderId="64" xfId="0" applyFont="1" applyBorder="1" applyAlignment="1">
      <alignment horizontal="center" vertical="center" textRotation="90"/>
    </xf>
    <xf numFmtId="0" fontId="48" fillId="0" borderId="99" xfId="0" applyFont="1" applyBorder="1" applyAlignment="1">
      <alignment horizontal="center" vertical="center" textRotation="90"/>
    </xf>
    <xf numFmtId="176" fontId="50" fillId="36" borderId="13" xfId="0" applyNumberFormat="1" applyFont="1" applyFill="1" applyBorder="1" applyAlignment="1">
      <alignment vertical="center"/>
    </xf>
    <xf numFmtId="0" fontId="50" fillId="36" borderId="11" xfId="0" applyFont="1" applyFill="1" applyBorder="1" applyAlignment="1">
      <alignment vertical="center"/>
    </xf>
    <xf numFmtId="176" fontId="55" fillId="33" borderId="12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/>
    </xf>
    <xf numFmtId="0" fontId="48" fillId="0" borderId="12" xfId="0" applyFont="1" applyBorder="1" applyAlignment="1">
      <alignment horizontal="right" vertical="center" wrapText="1"/>
    </xf>
    <xf numFmtId="176" fontId="50" fillId="35" borderId="19" xfId="0" applyNumberFormat="1" applyFont="1" applyFill="1" applyBorder="1" applyAlignment="1">
      <alignment horizontal="center" vertical="center"/>
    </xf>
    <xf numFmtId="0" fontId="48" fillId="35" borderId="175" xfId="0" applyFont="1" applyFill="1" applyBorder="1" applyAlignment="1">
      <alignment vertical="center"/>
    </xf>
    <xf numFmtId="0" fontId="48" fillId="35" borderId="103" xfId="0" applyFont="1" applyFill="1" applyBorder="1" applyAlignment="1">
      <alignment vertical="center"/>
    </xf>
    <xf numFmtId="0" fontId="48" fillId="35" borderId="12" xfId="0" applyFont="1" applyFill="1" applyBorder="1" applyAlignment="1">
      <alignment vertical="center"/>
    </xf>
    <xf numFmtId="176" fontId="50" fillId="35" borderId="10" xfId="0" applyNumberFormat="1" applyFont="1" applyFill="1" applyBorder="1" applyAlignment="1">
      <alignment horizontal="center" vertical="center" wrapText="1"/>
    </xf>
    <xf numFmtId="176" fontId="50" fillId="35" borderId="10" xfId="0" applyNumberFormat="1" applyFont="1" applyFill="1" applyBorder="1" applyAlignment="1">
      <alignment horizontal="center" vertical="center"/>
    </xf>
    <xf numFmtId="176" fontId="50" fillId="35" borderId="11" xfId="0" applyNumberFormat="1" applyFont="1" applyFill="1" applyBorder="1" applyAlignment="1">
      <alignment horizontal="center" vertical="center" wrapText="1"/>
    </xf>
    <xf numFmtId="176" fontId="50" fillId="35" borderId="11" xfId="0" applyNumberFormat="1" applyFont="1" applyFill="1" applyBorder="1" applyAlignment="1">
      <alignment horizontal="center" vertical="center"/>
    </xf>
    <xf numFmtId="176" fontId="48" fillId="0" borderId="154" xfId="0" applyNumberFormat="1" applyFont="1" applyBorder="1" applyAlignment="1">
      <alignment vertical="center"/>
    </xf>
    <xf numFmtId="176" fontId="48" fillId="0" borderId="531" xfId="0" applyNumberFormat="1" applyFont="1" applyBorder="1" applyAlignment="1">
      <alignment vertical="center"/>
    </xf>
    <xf numFmtId="176" fontId="48" fillId="0" borderId="546" xfId="0" applyNumberFormat="1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48" fillId="35" borderId="64" xfId="0" applyFont="1" applyFill="1" applyBorder="1" applyAlignment="1">
      <alignment horizontal="center" vertical="center"/>
    </xf>
    <xf numFmtId="0" fontId="48" fillId="35" borderId="165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 wrapText="1"/>
    </xf>
    <xf numFmtId="0" fontId="48" fillId="35" borderId="177" xfId="0" applyFont="1" applyFill="1" applyBorder="1" applyAlignment="1">
      <alignment vertical="center"/>
    </xf>
    <xf numFmtId="0" fontId="50" fillId="35" borderId="547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77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484" xfId="0" applyFont="1" applyFill="1" applyBorder="1" applyAlignment="1">
      <alignment horizontal="center" vertical="center" wrapText="1"/>
    </xf>
    <xf numFmtId="0" fontId="48" fillId="35" borderId="548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/>
    </xf>
    <xf numFmtId="0" fontId="50" fillId="35" borderId="165" xfId="0" applyFont="1" applyFill="1" applyBorder="1" applyAlignment="1">
      <alignment horizontal="center" vertical="center" wrapText="1"/>
    </xf>
    <xf numFmtId="0" fontId="50" fillId="35" borderId="549" xfId="0" applyFont="1" applyFill="1" applyBorder="1" applyAlignment="1">
      <alignment horizontal="center" vertical="center" wrapText="1"/>
    </xf>
    <xf numFmtId="0" fontId="48" fillId="35" borderId="550" xfId="0" applyFont="1" applyFill="1" applyBorder="1" applyAlignment="1">
      <alignment horizontal="center" vertical="center" wrapText="1"/>
    </xf>
    <xf numFmtId="4" fontId="48" fillId="0" borderId="175" xfId="0" applyNumberFormat="1" applyFont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0" fillId="35" borderId="153" xfId="0" applyFont="1" applyFill="1" applyBorder="1" applyAlignment="1">
      <alignment horizontal="center" vertical="center" wrapText="1"/>
    </xf>
    <xf numFmtId="0" fontId="50" fillId="35" borderId="161" xfId="0" applyFont="1" applyFill="1" applyBorder="1" applyAlignment="1">
      <alignment horizontal="center" vertical="center"/>
    </xf>
    <xf numFmtId="0" fontId="50" fillId="35" borderId="551" xfId="0" applyFont="1" applyFill="1" applyBorder="1" applyAlignment="1">
      <alignment horizontal="center" vertical="center"/>
    </xf>
    <xf numFmtId="0" fontId="50" fillId="35" borderId="552" xfId="0" applyFont="1" applyFill="1" applyBorder="1" applyAlignment="1">
      <alignment horizontal="center" vertical="center" wrapText="1"/>
    </xf>
    <xf numFmtId="0" fontId="50" fillId="35" borderId="553" xfId="0" applyFont="1" applyFill="1" applyBorder="1" applyAlignment="1">
      <alignment horizontal="center" vertical="center"/>
    </xf>
    <xf numFmtId="0" fontId="50" fillId="35" borderId="526" xfId="0" applyFont="1" applyFill="1" applyBorder="1" applyAlignment="1">
      <alignment horizontal="center" vertical="center"/>
    </xf>
    <xf numFmtId="0" fontId="50" fillId="35" borderId="554" xfId="0" applyFont="1" applyFill="1" applyBorder="1" applyAlignment="1">
      <alignment horizontal="center" vertical="center" wrapText="1"/>
    </xf>
    <xf numFmtId="0" fontId="50" fillId="35" borderId="555" xfId="0" applyFont="1" applyFill="1" applyBorder="1" applyAlignment="1">
      <alignment horizontal="center" vertical="center" wrapText="1"/>
    </xf>
    <xf numFmtId="0" fontId="50" fillId="35" borderId="556" xfId="0" applyFont="1" applyFill="1" applyBorder="1" applyAlignment="1">
      <alignment horizontal="center" vertical="center" wrapText="1"/>
    </xf>
    <xf numFmtId="0" fontId="50" fillId="35" borderId="161" xfId="0" applyFont="1" applyFill="1" applyBorder="1" applyAlignment="1">
      <alignment horizontal="center" vertical="center" wrapText="1"/>
    </xf>
    <xf numFmtId="0" fontId="50" fillId="35" borderId="557" xfId="0" applyFont="1" applyFill="1" applyBorder="1" applyAlignment="1">
      <alignment horizontal="center" vertical="center" wrapText="1"/>
    </xf>
    <xf numFmtId="0" fontId="48" fillId="35" borderId="558" xfId="0" applyFont="1" applyFill="1" applyBorder="1" applyAlignment="1">
      <alignment vertical="center" wrapText="1"/>
    </xf>
    <xf numFmtId="0" fontId="50" fillId="35" borderId="559" xfId="0" applyFont="1" applyFill="1" applyBorder="1" applyAlignment="1">
      <alignment horizontal="center" vertical="center" wrapText="1"/>
    </xf>
    <xf numFmtId="0" fontId="48" fillId="35" borderId="56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10" fillId="35" borderId="19" xfId="0" applyNumberFormat="1" applyFont="1" applyFill="1" applyBorder="1" applyAlignment="1">
      <alignment horizontal="left" vertical="center" wrapText="1"/>
    </xf>
    <xf numFmtId="0" fontId="0" fillId="35" borderId="100" xfId="0" applyFill="1" applyBorder="1" applyAlignment="1">
      <alignment horizontal="left" vertical="center"/>
    </xf>
    <xf numFmtId="0" fontId="0" fillId="35" borderId="103" xfId="0" applyFill="1" applyBorder="1" applyAlignment="1">
      <alignment horizontal="left" vertical="center"/>
    </xf>
    <xf numFmtId="0" fontId="7" fillId="35" borderId="437" xfId="0" applyNumberFormat="1" applyFont="1" applyFill="1" applyBorder="1" applyAlignment="1">
      <alignment horizontal="center" vertical="center" wrapText="1"/>
    </xf>
    <xf numFmtId="0" fontId="7" fillId="35" borderId="175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vertical="center"/>
    </xf>
    <xf numFmtId="177" fontId="10" fillId="35" borderId="440" xfId="0" applyNumberFormat="1" applyFont="1" applyFill="1" applyBorder="1" applyAlignment="1">
      <alignment horizontal="center" vertical="center" wrapText="1"/>
    </xf>
    <xf numFmtId="177" fontId="10" fillId="35" borderId="177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175" xfId="0" applyFont="1" applyFill="1" applyBorder="1" applyAlignment="1">
      <alignment vertical="center" wrapText="1"/>
    </xf>
    <xf numFmtId="0" fontId="64" fillId="0" borderId="175" xfId="0" applyFont="1" applyBorder="1" applyAlignment="1">
      <alignment vertical="center" wrapText="1"/>
    </xf>
    <xf numFmtId="0" fontId="64" fillId="0" borderId="175" xfId="0" applyFont="1" applyBorder="1" applyAlignment="1">
      <alignment vertical="center"/>
    </xf>
    <xf numFmtId="0" fontId="57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/>
    </xf>
    <xf numFmtId="0" fontId="57" fillId="35" borderId="10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left" vertical="center" wrapText="1"/>
    </xf>
    <xf numFmtId="0" fontId="17" fillId="35" borderId="11" xfId="0" applyFont="1" applyFill="1" applyBorder="1" applyAlignment="1">
      <alignment vertical="center" wrapText="1"/>
    </xf>
    <xf numFmtId="0" fontId="23" fillId="35" borderId="162" xfId="0" applyFont="1" applyFill="1" applyBorder="1" applyAlignment="1">
      <alignment vertical="center" wrapText="1"/>
    </xf>
    <xf numFmtId="0" fontId="37" fillId="35" borderId="341" xfId="0" applyFont="1" applyFill="1" applyBorder="1" applyAlignment="1">
      <alignment vertical="center"/>
    </xf>
    <xf numFmtId="0" fontId="23" fillId="35" borderId="415" xfId="0" applyFont="1" applyFill="1" applyBorder="1" applyAlignment="1">
      <alignment vertical="center" wrapText="1"/>
    </xf>
    <xf numFmtId="0" fontId="17" fillId="35" borderId="520" xfId="0" applyFont="1" applyFill="1" applyBorder="1" applyAlignment="1">
      <alignment vertical="center"/>
    </xf>
    <xf numFmtId="0" fontId="23" fillId="35" borderId="13" xfId="0" applyFont="1" applyFill="1" applyBorder="1" applyAlignment="1">
      <alignment vertical="center" wrapText="1"/>
    </xf>
    <xf numFmtId="0" fontId="17" fillId="35" borderId="11" xfId="0" applyFont="1" applyFill="1" applyBorder="1" applyAlignment="1">
      <alignment vertical="center"/>
    </xf>
    <xf numFmtId="0" fontId="23" fillId="0" borderId="153" xfId="0" applyFont="1" applyFill="1" applyBorder="1" applyAlignment="1">
      <alignment horizontal="left" vertical="center"/>
    </xf>
    <xf numFmtId="0" fontId="23" fillId="0" borderId="154" xfId="0" applyFont="1" applyFill="1" applyBorder="1" applyAlignment="1">
      <alignment horizontal="left" vertical="center"/>
    </xf>
    <xf numFmtId="0" fontId="23" fillId="35" borderId="411" xfId="0" applyFont="1" applyFill="1" applyBorder="1" applyAlignment="1">
      <alignment vertical="center" wrapText="1"/>
    </xf>
    <xf numFmtId="0" fontId="17" fillId="35" borderId="561" xfId="0" applyFont="1" applyFill="1" applyBorder="1" applyAlignment="1">
      <alignment vertical="center"/>
    </xf>
    <xf numFmtId="0" fontId="23" fillId="35" borderId="562" xfId="0" applyFont="1" applyFill="1" applyBorder="1" applyAlignment="1">
      <alignment vertical="center" wrapText="1"/>
    </xf>
    <xf numFmtId="0" fontId="17" fillId="35" borderId="563" xfId="0" applyFont="1" applyFill="1" applyBorder="1" applyAlignment="1">
      <alignment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tabSelected="1" view="pageBreakPreview" zoomScaleNormal="85" zoomScaleSheetLayoutView="100" workbookViewId="0" topLeftCell="A1">
      <selection activeCell="I12" sqref="I12"/>
    </sheetView>
  </sheetViews>
  <sheetFormatPr defaultColWidth="9.00390625" defaultRowHeight="12.75"/>
  <cols>
    <col min="1" max="1" width="12.625" style="805" customWidth="1"/>
    <col min="2" max="2" width="66.875" style="753" customWidth="1"/>
    <col min="3" max="3" width="12.625" style="753" customWidth="1"/>
    <col min="4" max="4" width="12.75390625" style="753" customWidth="1"/>
    <col min="5" max="5" width="13.00390625" style="753" customWidth="1"/>
    <col min="6" max="6" width="9.875" style="753" customWidth="1"/>
    <col min="7" max="16384" width="9.125" style="753" customWidth="1"/>
  </cols>
  <sheetData>
    <row r="1" spans="1:6" ht="70.5" customHeight="1">
      <c r="A1" s="1343" t="s">
        <v>324</v>
      </c>
      <c r="B1" s="1344"/>
      <c r="C1" s="1344"/>
      <c r="D1" s="1344"/>
      <c r="E1" s="1344"/>
      <c r="F1" s="1298" t="s">
        <v>716</v>
      </c>
    </row>
    <row r="2" spans="1:6" s="757" customFormat="1" ht="41.25" customHeight="1">
      <c r="A2" s="750" t="s">
        <v>98</v>
      </c>
      <c r="B2" s="428" t="s">
        <v>17</v>
      </c>
      <c r="C2" s="754" t="s">
        <v>321</v>
      </c>
      <c r="D2" s="755" t="s">
        <v>322</v>
      </c>
      <c r="E2" s="755" t="s">
        <v>323</v>
      </c>
      <c r="F2" s="756" t="s">
        <v>37</v>
      </c>
    </row>
    <row r="3" spans="1:6" s="757" customFormat="1" ht="22.5" customHeight="1">
      <c r="A3" s="1338" t="s">
        <v>51</v>
      </c>
      <c r="B3" s="1339"/>
      <c r="C3" s="1339"/>
      <c r="D3" s="1339"/>
      <c r="E3" s="1339"/>
      <c r="F3" s="1340"/>
    </row>
    <row r="4" spans="1:6" ht="18.75" customHeight="1">
      <c r="A4" s="783">
        <v>1341</v>
      </c>
      <c r="B4" s="811" t="s">
        <v>20</v>
      </c>
      <c r="C4" s="812">
        <v>2700</v>
      </c>
      <c r="D4" s="784">
        <v>2000</v>
      </c>
      <c r="E4" s="813">
        <v>1954.78913</v>
      </c>
      <c r="F4" s="786">
        <f aca="true" t="shared" si="0" ref="F4:F11">E4/D4</f>
        <v>0.977394565</v>
      </c>
    </row>
    <row r="5" spans="1:6" ht="18.75" customHeight="1">
      <c r="A5" s="758">
        <v>1342</v>
      </c>
      <c r="B5" s="759" t="s">
        <v>1</v>
      </c>
      <c r="C5" s="764">
        <v>1000</v>
      </c>
      <c r="D5" s="761">
        <v>1800</v>
      </c>
      <c r="E5" s="762">
        <v>1840.17975</v>
      </c>
      <c r="F5" s="763">
        <f t="shared" si="0"/>
        <v>1.0223220833333333</v>
      </c>
    </row>
    <row r="6" spans="1:6" ht="18.75" customHeight="1">
      <c r="A6" s="758">
        <v>1343</v>
      </c>
      <c r="B6" s="759" t="s">
        <v>21</v>
      </c>
      <c r="C6" s="764">
        <v>14500</v>
      </c>
      <c r="D6" s="761">
        <v>16500</v>
      </c>
      <c r="E6" s="762">
        <v>17490.92194</v>
      </c>
      <c r="F6" s="763">
        <f t="shared" si="0"/>
        <v>1.0600558751515152</v>
      </c>
    </row>
    <row r="7" spans="1:6" ht="18.75" customHeight="1">
      <c r="A7" s="758">
        <v>1344</v>
      </c>
      <c r="B7" s="759" t="s">
        <v>22</v>
      </c>
      <c r="C7" s="764">
        <v>300</v>
      </c>
      <c r="D7" s="761">
        <v>300</v>
      </c>
      <c r="E7" s="762">
        <v>437.793</v>
      </c>
      <c r="F7" s="763">
        <f t="shared" si="0"/>
        <v>1.45931</v>
      </c>
    </row>
    <row r="8" spans="1:6" ht="18.75" customHeight="1">
      <c r="A8" s="758">
        <v>1345</v>
      </c>
      <c r="B8" s="759" t="s">
        <v>23</v>
      </c>
      <c r="C8" s="764">
        <v>1100</v>
      </c>
      <c r="D8" s="761">
        <v>1500</v>
      </c>
      <c r="E8" s="762">
        <v>1499.415</v>
      </c>
      <c r="F8" s="763">
        <f t="shared" si="0"/>
        <v>0.99961</v>
      </c>
    </row>
    <row r="9" spans="1:6" ht="18.75" customHeight="1">
      <c r="A9" s="758">
        <v>1361</v>
      </c>
      <c r="B9" s="759" t="s">
        <v>0</v>
      </c>
      <c r="C9" s="760">
        <v>13600</v>
      </c>
      <c r="D9" s="761">
        <v>13600</v>
      </c>
      <c r="E9" s="762">
        <v>11666.912</v>
      </c>
      <c r="F9" s="763">
        <f t="shared" si="0"/>
        <v>0.8578611764705882</v>
      </c>
    </row>
    <row r="10" spans="1:6" ht="18.75" customHeight="1" thickBot="1">
      <c r="A10" s="765">
        <v>1511</v>
      </c>
      <c r="B10" s="766" t="s">
        <v>179</v>
      </c>
      <c r="C10" s="425">
        <v>61420</v>
      </c>
      <c r="D10" s="767">
        <v>61420</v>
      </c>
      <c r="E10" s="425">
        <v>63408.33032</v>
      </c>
      <c r="F10" s="768">
        <f t="shared" si="0"/>
        <v>1.0323726851188537</v>
      </c>
    </row>
    <row r="11" spans="1:6" ht="29.25" customHeight="1" thickTop="1">
      <c r="A11" s="769"/>
      <c r="B11" s="770" t="s">
        <v>2</v>
      </c>
      <c r="C11" s="771">
        <f>SUM(C4:C10)</f>
        <v>94620</v>
      </c>
      <c r="D11" s="771">
        <f>SUM(D4:D10)</f>
        <v>97120</v>
      </c>
      <c r="E11" s="771">
        <f>SUM(E4:E10)</f>
        <v>98298.34114</v>
      </c>
      <c r="F11" s="772">
        <f t="shared" si="0"/>
        <v>1.0121328371087315</v>
      </c>
    </row>
    <row r="12" spans="1:6" ht="23.25" customHeight="1">
      <c r="A12" s="1338" t="s">
        <v>52</v>
      </c>
      <c r="B12" s="1339"/>
      <c r="C12" s="1339"/>
      <c r="D12" s="1339"/>
      <c r="E12" s="1339"/>
      <c r="F12" s="1340"/>
    </row>
    <row r="13" spans="1:6" ht="18.75" customHeight="1">
      <c r="A13" s="783">
        <v>2111</v>
      </c>
      <c r="B13" s="811" t="s">
        <v>182</v>
      </c>
      <c r="C13" s="784">
        <v>0</v>
      </c>
      <c r="D13" s="784">
        <v>0</v>
      </c>
      <c r="E13" s="784">
        <v>130.435</v>
      </c>
      <c r="F13" s="814"/>
    </row>
    <row r="14" spans="1:6" ht="18.75" customHeight="1">
      <c r="A14" s="758">
        <v>2112</v>
      </c>
      <c r="B14" s="759" t="s">
        <v>506</v>
      </c>
      <c r="C14" s="761">
        <v>0</v>
      </c>
      <c r="D14" s="761">
        <v>0</v>
      </c>
      <c r="E14" s="761">
        <v>8.5</v>
      </c>
      <c r="F14" s="773"/>
    </row>
    <row r="15" spans="1:6" ht="18.75" customHeight="1">
      <c r="A15" s="758">
        <v>2141</v>
      </c>
      <c r="B15" s="759" t="s">
        <v>3</v>
      </c>
      <c r="C15" s="761">
        <v>350</v>
      </c>
      <c r="D15" s="761">
        <v>1700</v>
      </c>
      <c r="E15" s="761">
        <v>3130.10815</v>
      </c>
      <c r="F15" s="763">
        <f>E15/D15</f>
        <v>1.8412400882352942</v>
      </c>
    </row>
    <row r="16" spans="1:6" ht="18.75" customHeight="1">
      <c r="A16" s="758">
        <v>2142</v>
      </c>
      <c r="B16" s="759" t="s">
        <v>507</v>
      </c>
      <c r="C16" s="761">
        <v>0</v>
      </c>
      <c r="D16" s="761">
        <v>0</v>
      </c>
      <c r="E16" s="761">
        <v>0.10042</v>
      </c>
      <c r="F16" s="773"/>
    </row>
    <row r="17" spans="1:6" ht="18.75" customHeight="1">
      <c r="A17" s="758" t="s">
        <v>508</v>
      </c>
      <c r="B17" s="759" t="s">
        <v>500</v>
      </c>
      <c r="C17" s="761">
        <v>13832</v>
      </c>
      <c r="D17" s="761">
        <v>11014.8</v>
      </c>
      <c r="E17" s="761">
        <v>9918.87729</v>
      </c>
      <c r="F17" s="763">
        <f>E17/D17</f>
        <v>0.9005045293604969</v>
      </c>
    </row>
    <row r="18" spans="1:6" ht="18.75" customHeight="1">
      <c r="A18" s="758">
        <v>2229</v>
      </c>
      <c r="B18" s="759" t="s">
        <v>180</v>
      </c>
      <c r="C18" s="762">
        <v>1922</v>
      </c>
      <c r="D18" s="774">
        <v>7074.5</v>
      </c>
      <c r="E18" s="762">
        <v>5246.05697</v>
      </c>
      <c r="F18" s="763">
        <f>E18/D18</f>
        <v>0.7415445572125238</v>
      </c>
    </row>
    <row r="19" spans="1:6" ht="18.75" customHeight="1">
      <c r="A19" s="758">
        <v>2310</v>
      </c>
      <c r="B19" s="759" t="s">
        <v>501</v>
      </c>
      <c r="C19" s="762">
        <v>0</v>
      </c>
      <c r="D19" s="762">
        <v>0</v>
      </c>
      <c r="E19" s="762">
        <v>29.026</v>
      </c>
      <c r="F19" s="763"/>
    </row>
    <row r="20" spans="1:6" ht="18.75" customHeight="1">
      <c r="A20" s="758">
        <v>2321</v>
      </c>
      <c r="B20" s="759" t="s">
        <v>222</v>
      </c>
      <c r="C20" s="762">
        <v>0</v>
      </c>
      <c r="D20" s="774">
        <v>272.3</v>
      </c>
      <c r="E20" s="762">
        <v>272.25</v>
      </c>
      <c r="F20" s="763">
        <f>E20/D20</f>
        <v>0.9998163789937569</v>
      </c>
    </row>
    <row r="21" spans="1:6" ht="18.75" customHeight="1">
      <c r="A21" s="758">
        <v>2322</v>
      </c>
      <c r="B21" s="759" t="s">
        <v>181</v>
      </c>
      <c r="C21" s="762">
        <v>100</v>
      </c>
      <c r="D21" s="775">
        <v>100</v>
      </c>
      <c r="E21" s="775">
        <v>0</v>
      </c>
      <c r="F21" s="763">
        <v>0</v>
      </c>
    </row>
    <row r="22" spans="1:6" ht="18.75" customHeight="1">
      <c r="A22" s="758" t="s">
        <v>717</v>
      </c>
      <c r="B22" s="759" t="s">
        <v>719</v>
      </c>
      <c r="C22" s="762">
        <v>2500</v>
      </c>
      <c r="D22" s="775">
        <v>2510.1</v>
      </c>
      <c r="E22" s="775">
        <v>3888.4</v>
      </c>
      <c r="F22" s="763">
        <f>E22/D22</f>
        <v>1.5491016294171547</v>
      </c>
    </row>
    <row r="23" spans="1:6" ht="18.75" customHeight="1">
      <c r="A23" s="758">
        <v>2328</v>
      </c>
      <c r="B23" s="759" t="s">
        <v>502</v>
      </c>
      <c r="C23" s="762">
        <v>0</v>
      </c>
      <c r="D23" s="775">
        <v>0</v>
      </c>
      <c r="E23" s="775">
        <v>72.46256</v>
      </c>
      <c r="F23" s="763"/>
    </row>
    <row r="24" spans="1:6" ht="18.75" customHeight="1" thickBot="1">
      <c r="A24" s="765">
        <v>2420</v>
      </c>
      <c r="B24" s="776" t="s">
        <v>503</v>
      </c>
      <c r="C24" s="777">
        <v>0</v>
      </c>
      <c r="D24" s="425">
        <v>840.4</v>
      </c>
      <c r="E24" s="778">
        <v>840.326</v>
      </c>
      <c r="F24" s="768">
        <f>E24/D24</f>
        <v>0.9999119466920514</v>
      </c>
    </row>
    <row r="25" spans="1:6" ht="29.25" customHeight="1" thickTop="1">
      <c r="A25" s="769"/>
      <c r="B25" s="779" t="s">
        <v>4</v>
      </c>
      <c r="C25" s="780">
        <f>SUM(C13:C24)</f>
        <v>18704</v>
      </c>
      <c r="D25" s="780">
        <f>SUM(D13:D24)</f>
        <v>23512.1</v>
      </c>
      <c r="E25" s="780">
        <f>SUM(E13:E24)</f>
        <v>23536.542390000006</v>
      </c>
      <c r="F25" s="772">
        <f>E25/D25</f>
        <v>1.0010395664360057</v>
      </c>
    </row>
    <row r="26" spans="1:6" ht="25.5" customHeight="1">
      <c r="A26" s="1338" t="s">
        <v>509</v>
      </c>
      <c r="B26" s="1339"/>
      <c r="C26" s="1339"/>
      <c r="D26" s="1339"/>
      <c r="E26" s="1339"/>
      <c r="F26" s="1340"/>
    </row>
    <row r="27" spans="1:6" ht="18.75" customHeight="1">
      <c r="A27" s="783">
        <v>3113</v>
      </c>
      <c r="B27" s="811" t="s">
        <v>504</v>
      </c>
      <c r="C27" s="813">
        <v>0</v>
      </c>
      <c r="D27" s="793">
        <v>0</v>
      </c>
      <c r="E27" s="813">
        <v>169.4</v>
      </c>
      <c r="F27" s="815"/>
    </row>
    <row r="28" spans="1:6" ht="18.75" customHeight="1" thickBot="1">
      <c r="A28" s="765">
        <v>3202</v>
      </c>
      <c r="B28" s="766" t="s">
        <v>505</v>
      </c>
      <c r="C28" s="425">
        <v>0</v>
      </c>
      <c r="D28" s="425">
        <v>611.1</v>
      </c>
      <c r="E28" s="425">
        <v>611.04062</v>
      </c>
      <c r="F28" s="768">
        <f>E28/D28</f>
        <v>0.9999028309605629</v>
      </c>
    </row>
    <row r="29" spans="1:6" ht="29.25" customHeight="1" thickTop="1">
      <c r="A29" s="769"/>
      <c r="B29" s="779" t="s">
        <v>510</v>
      </c>
      <c r="C29" s="780">
        <f>SUM(C27:C28)</f>
        <v>0</v>
      </c>
      <c r="D29" s="771">
        <f>SUM(D27:D28)</f>
        <v>611.1</v>
      </c>
      <c r="E29" s="780">
        <f>SUM(E27:E28)</f>
        <v>780.44062</v>
      </c>
      <c r="F29" s="772">
        <f>E29/D29</f>
        <v>1.2771078710522008</v>
      </c>
    </row>
    <row r="30" spans="1:6" ht="30" customHeight="1">
      <c r="A30" s="781"/>
      <c r="B30" s="782" t="s">
        <v>511</v>
      </c>
      <c r="C30" s="602">
        <f>C11+C25+C29</f>
        <v>113324</v>
      </c>
      <c r="D30" s="602">
        <f>D11+D25+D29</f>
        <v>121243.20000000001</v>
      </c>
      <c r="E30" s="602">
        <f>E11+E25+E29</f>
        <v>122615.32415</v>
      </c>
      <c r="F30" s="772">
        <f>E30/D30</f>
        <v>1.011317122527284</v>
      </c>
    </row>
    <row r="31" spans="1:6" ht="23.25" customHeight="1">
      <c r="A31" s="1338" t="s">
        <v>53</v>
      </c>
      <c r="B31" s="1339"/>
      <c r="C31" s="1339"/>
      <c r="D31" s="1339"/>
      <c r="E31" s="1339"/>
      <c r="F31" s="1340"/>
    </row>
    <row r="32" spans="1:6" ht="18.75" customHeight="1">
      <c r="A32" s="816">
        <v>4137</v>
      </c>
      <c r="B32" s="817" t="s">
        <v>721</v>
      </c>
      <c r="C32" s="793">
        <v>55280</v>
      </c>
      <c r="D32" s="793">
        <v>125696.2</v>
      </c>
      <c r="E32" s="793">
        <v>122682.95803</v>
      </c>
      <c r="F32" s="818">
        <f>E32/D32</f>
        <v>0.9760275810247246</v>
      </c>
    </row>
    <row r="33" spans="1:6" ht="18.75" customHeight="1">
      <c r="A33" s="787">
        <v>4137</v>
      </c>
      <c r="B33" s="788" t="s">
        <v>722</v>
      </c>
      <c r="C33" s="775">
        <v>267400</v>
      </c>
      <c r="D33" s="775">
        <v>408351.5</v>
      </c>
      <c r="E33" s="775">
        <f>531034.50916-E32</f>
        <v>408351.55113000004</v>
      </c>
      <c r="F33" s="427">
        <f>E33/D33</f>
        <v>1.000000125210756</v>
      </c>
    </row>
    <row r="34" spans="1:6" ht="18.75" customHeight="1" thickBot="1">
      <c r="A34" s="765" t="s">
        <v>718</v>
      </c>
      <c r="B34" s="789" t="s">
        <v>54</v>
      </c>
      <c r="C34" s="778">
        <f>240000-294</f>
        <v>239706</v>
      </c>
      <c r="D34" s="778">
        <v>617014.8</v>
      </c>
      <c r="E34" s="425">
        <v>759971.94387</v>
      </c>
      <c r="F34" s="427">
        <f>E34/D34</f>
        <v>1.2316915961659265</v>
      </c>
    </row>
    <row r="35" spans="1:6" ht="29.25" customHeight="1" thickBot="1" thickTop="1">
      <c r="A35" s="790"/>
      <c r="B35" s="791" t="s">
        <v>18</v>
      </c>
      <c r="C35" s="792">
        <f>SUM(C32:C34)</f>
        <v>562386</v>
      </c>
      <c r="D35" s="792">
        <f>SUM(D32:D34)</f>
        <v>1151062.5</v>
      </c>
      <c r="E35" s="793">
        <f>SUM(E32:E34)</f>
        <v>1291006.45303</v>
      </c>
      <c r="F35" s="426">
        <f>E35/D35</f>
        <v>1.121578066377803</v>
      </c>
    </row>
    <row r="36" spans="1:6" ht="44.25" customHeight="1" thickTop="1">
      <c r="A36" s="794"/>
      <c r="B36" s="795" t="s">
        <v>5</v>
      </c>
      <c r="C36" s="796">
        <f>C30+C35</f>
        <v>675710</v>
      </c>
      <c r="D36" s="796">
        <f>D30+D35</f>
        <v>1272305.7</v>
      </c>
      <c r="E36" s="796">
        <f>E30+E35</f>
        <v>1413621.77718</v>
      </c>
      <c r="F36" s="797">
        <f>E36/D36</f>
        <v>1.1110708512741867</v>
      </c>
    </row>
    <row r="37" spans="1:6" ht="23.25" customHeight="1">
      <c r="A37" s="1338" t="s">
        <v>720</v>
      </c>
      <c r="B37" s="1339"/>
      <c r="C37" s="1339"/>
      <c r="D37" s="1339"/>
      <c r="E37" s="1339"/>
      <c r="F37" s="1340"/>
    </row>
    <row r="38" spans="1:6" ht="18.75" customHeight="1">
      <c r="A38" s="1341"/>
      <c r="B38" s="819" t="s">
        <v>191</v>
      </c>
      <c r="C38" s="798">
        <v>491141.5</v>
      </c>
      <c r="D38" s="785">
        <v>157036.2</v>
      </c>
      <c r="E38" s="785">
        <v>-343459.97022</v>
      </c>
      <c r="F38" s="818">
        <f>E38/D38</f>
        <v>-2.187138826716388</v>
      </c>
    </row>
    <row r="39" spans="1:6" ht="18.75" customHeight="1" thickBot="1">
      <c r="A39" s="1342"/>
      <c r="B39" s="799" t="s">
        <v>190</v>
      </c>
      <c r="C39" s="425">
        <v>0</v>
      </c>
      <c r="D39" s="425">
        <v>0</v>
      </c>
      <c r="E39" s="425">
        <v>-115.78024</v>
      </c>
      <c r="F39" s="810"/>
    </row>
    <row r="40" spans="1:6" ht="29.25" customHeight="1" thickBot="1" thickTop="1">
      <c r="A40" s="794"/>
      <c r="B40" s="791" t="s">
        <v>150</v>
      </c>
      <c r="C40" s="800">
        <f>SUM(C38:C39)</f>
        <v>491141.5</v>
      </c>
      <c r="D40" s="800">
        <f>SUM(D38:D39)</f>
        <v>157036.2</v>
      </c>
      <c r="E40" s="792">
        <f>SUM(E38:E39)</f>
        <v>-343575.75046</v>
      </c>
      <c r="F40" s="426">
        <f>E40/D40</f>
        <v>-2.187876110476438</v>
      </c>
    </row>
    <row r="41" spans="1:6" ht="59.25" customHeight="1" thickBot="1" thickTop="1">
      <c r="A41" s="801"/>
      <c r="B41" s="802" t="s">
        <v>24</v>
      </c>
      <c r="C41" s="803">
        <f>C36+C40</f>
        <v>1166851.5</v>
      </c>
      <c r="D41" s="803">
        <f>D36+D40</f>
        <v>1429341.9</v>
      </c>
      <c r="E41" s="803">
        <f>E36+E40</f>
        <v>1070046.02672</v>
      </c>
      <c r="F41" s="804">
        <f>E41/D41</f>
        <v>0.7486284609161741</v>
      </c>
    </row>
    <row r="42" spans="2:6" ht="15">
      <c r="B42" s="806"/>
      <c r="C42" s="806"/>
      <c r="E42" s="806"/>
      <c r="F42" s="807"/>
    </row>
    <row r="43" ht="14.25" customHeight="1"/>
    <row r="45" spans="2:4" ht="12.75">
      <c r="B45" s="757"/>
      <c r="C45" s="757"/>
      <c r="D45" s="757"/>
    </row>
    <row r="46" spans="2:4" ht="12.75">
      <c r="B46" s="757"/>
      <c r="C46" s="808"/>
      <c r="D46" s="757"/>
    </row>
    <row r="47" spans="2:4" ht="12.75">
      <c r="B47" s="757"/>
      <c r="C47" s="757"/>
      <c r="D47" s="757"/>
    </row>
    <row r="48" ht="12.75">
      <c r="B48" s="809"/>
    </row>
    <row r="103" spans="2:5" ht="12.75">
      <c r="B103" s="757"/>
      <c r="C103" s="757"/>
      <c r="D103" s="757"/>
      <c r="E103" s="757"/>
    </row>
    <row r="104" spans="2:5" ht="12.75">
      <c r="B104" s="757"/>
      <c r="C104" s="757"/>
      <c r="D104" s="757"/>
      <c r="E104" s="757"/>
    </row>
    <row r="105" spans="2:5" ht="12.75">
      <c r="B105" s="757"/>
      <c r="C105" s="757"/>
      <c r="D105" s="757"/>
      <c r="E105" s="757"/>
    </row>
    <row r="106" spans="2:5" ht="12.75">
      <c r="B106" s="757"/>
      <c r="C106" s="757"/>
      <c r="D106" s="757"/>
      <c r="E106" s="757"/>
    </row>
    <row r="107" spans="2:5" ht="12.75">
      <c r="B107" s="757"/>
      <c r="C107" s="757"/>
      <c r="D107" s="757"/>
      <c r="E107" s="757"/>
    </row>
    <row r="108" spans="2:5" ht="12.75">
      <c r="B108" s="757"/>
      <c r="C108" s="757"/>
      <c r="D108" s="757"/>
      <c r="E108" s="757"/>
    </row>
    <row r="109" spans="2:5" ht="12.75">
      <c r="B109" s="757"/>
      <c r="C109" s="757"/>
      <c r="D109" s="757"/>
      <c r="E109" s="757"/>
    </row>
    <row r="110" spans="2:5" ht="12.75">
      <c r="B110" s="757"/>
      <c r="C110" s="757"/>
      <c r="D110" s="757"/>
      <c r="E110" s="757"/>
    </row>
    <row r="111" spans="2:5" ht="12.75">
      <c r="B111" s="757"/>
      <c r="C111" s="757"/>
      <c r="D111" s="757"/>
      <c r="E111" s="757"/>
    </row>
    <row r="112" spans="2:5" ht="12.75">
      <c r="B112" s="757"/>
      <c r="C112" s="757"/>
      <c r="D112" s="757"/>
      <c r="E112" s="757"/>
    </row>
    <row r="113" spans="2:5" ht="12.75">
      <c r="B113" s="757"/>
      <c r="C113" s="757"/>
      <c r="D113" s="757"/>
      <c r="E113" s="757"/>
    </row>
    <row r="114" spans="2:5" ht="12.75">
      <c r="B114" s="757"/>
      <c r="C114" s="757"/>
      <c r="D114" s="757"/>
      <c r="E114" s="757"/>
    </row>
    <row r="115" spans="2:5" ht="12.75">
      <c r="B115" s="757"/>
      <c r="C115" s="757"/>
      <c r="D115" s="757"/>
      <c r="E115" s="757"/>
    </row>
    <row r="116" spans="2:5" ht="12.75">
      <c r="B116" s="757"/>
      <c r="C116" s="757"/>
      <c r="D116" s="757"/>
      <c r="E116" s="757"/>
    </row>
    <row r="117" spans="2:5" ht="12.75">
      <c r="B117" s="757"/>
      <c r="C117" s="757"/>
      <c r="D117" s="757"/>
      <c r="E117" s="757"/>
    </row>
    <row r="118" spans="2:5" ht="12.75">
      <c r="B118" s="757"/>
      <c r="C118" s="757"/>
      <c r="D118" s="757"/>
      <c r="E118" s="757"/>
    </row>
    <row r="119" spans="2:5" ht="12.75">
      <c r="B119" s="757"/>
      <c r="C119" s="757"/>
      <c r="D119" s="757"/>
      <c r="E119" s="757"/>
    </row>
    <row r="120" spans="2:5" ht="12.75">
      <c r="B120" s="757"/>
      <c r="C120" s="757"/>
      <c r="D120" s="757"/>
      <c r="E120" s="757"/>
    </row>
    <row r="121" spans="2:5" ht="12.75">
      <c r="B121" s="757"/>
      <c r="C121" s="757"/>
      <c r="D121" s="757"/>
      <c r="E121" s="757"/>
    </row>
    <row r="122" spans="2:5" ht="12.75">
      <c r="B122" s="757"/>
      <c r="C122" s="757"/>
      <c r="D122" s="757"/>
      <c r="E122" s="757"/>
    </row>
    <row r="123" spans="2:5" ht="12.75">
      <c r="B123" s="757"/>
      <c r="C123" s="757"/>
      <c r="D123" s="757"/>
      <c r="E123" s="757"/>
    </row>
    <row r="124" spans="2:5" ht="12.75">
      <c r="B124" s="757"/>
      <c r="C124" s="757"/>
      <c r="D124" s="757"/>
      <c r="E124" s="757"/>
    </row>
    <row r="125" spans="2:5" ht="12.75">
      <c r="B125" s="757"/>
      <c r="C125" s="757"/>
      <c r="D125" s="757"/>
      <c r="E125" s="757"/>
    </row>
    <row r="126" spans="2:5" ht="12.75">
      <c r="B126" s="757"/>
      <c r="C126" s="757"/>
      <c r="D126" s="757"/>
      <c r="E126" s="757"/>
    </row>
    <row r="127" spans="2:5" ht="12.75">
      <c r="B127" s="757"/>
      <c r="C127" s="757"/>
      <c r="D127" s="757"/>
      <c r="E127" s="757"/>
    </row>
    <row r="128" spans="2:5" ht="12.75">
      <c r="B128" s="757"/>
      <c r="C128" s="757"/>
      <c r="D128" s="757"/>
      <c r="E128" s="757"/>
    </row>
    <row r="129" spans="2:5" ht="12.75">
      <c r="B129" s="757"/>
      <c r="C129" s="757"/>
      <c r="D129" s="757"/>
      <c r="E129" s="757"/>
    </row>
    <row r="130" spans="2:5" ht="12.75">
      <c r="B130" s="757"/>
      <c r="C130" s="757"/>
      <c r="D130" s="757"/>
      <c r="E130" s="757"/>
    </row>
    <row r="131" spans="2:5" ht="12.75">
      <c r="B131" s="757"/>
      <c r="C131" s="757"/>
      <c r="D131" s="757"/>
      <c r="E131" s="757"/>
    </row>
    <row r="132" spans="2:5" ht="12.75">
      <c r="B132" s="757"/>
      <c r="C132" s="757"/>
      <c r="D132" s="757"/>
      <c r="E132" s="757"/>
    </row>
    <row r="133" spans="2:5" ht="12.75">
      <c r="B133" s="757"/>
      <c r="C133" s="757"/>
      <c r="D133" s="757"/>
      <c r="E133" s="757"/>
    </row>
    <row r="134" spans="2:5" ht="12.75">
      <c r="B134" s="757"/>
      <c r="C134" s="757"/>
      <c r="D134" s="757"/>
      <c r="E134" s="757"/>
    </row>
    <row r="135" spans="2:5" ht="12.75">
      <c r="B135" s="757"/>
      <c r="C135" s="757"/>
      <c r="D135" s="757"/>
      <c r="E135" s="757"/>
    </row>
    <row r="136" spans="2:5" ht="12.75">
      <c r="B136" s="757"/>
      <c r="C136" s="757"/>
      <c r="D136" s="757"/>
      <c r="E136" s="757"/>
    </row>
    <row r="137" spans="2:5" ht="12.75">
      <c r="B137" s="757"/>
      <c r="C137" s="757"/>
      <c r="D137" s="757"/>
      <c r="E137" s="757"/>
    </row>
    <row r="138" spans="2:5" ht="12.75">
      <c r="B138" s="757"/>
      <c r="C138" s="757"/>
      <c r="D138" s="757"/>
      <c r="E138" s="757"/>
    </row>
    <row r="139" spans="2:5" ht="12.75">
      <c r="B139" s="757"/>
      <c r="C139" s="757"/>
      <c r="D139" s="757"/>
      <c r="E139" s="757"/>
    </row>
    <row r="140" spans="2:5" ht="12.75">
      <c r="B140" s="757"/>
      <c r="C140" s="757"/>
      <c r="D140" s="757"/>
      <c r="E140" s="757"/>
    </row>
    <row r="141" spans="2:5" ht="12.75">
      <c r="B141" s="757"/>
      <c r="C141" s="757"/>
      <c r="D141" s="757"/>
      <c r="E141" s="757"/>
    </row>
    <row r="142" spans="2:5" ht="12.75">
      <c r="B142" s="757"/>
      <c r="C142" s="757"/>
      <c r="D142" s="757"/>
      <c r="E142" s="757"/>
    </row>
    <row r="143" spans="2:5" ht="12.75">
      <c r="B143" s="757"/>
      <c r="C143" s="757"/>
      <c r="D143" s="757"/>
      <c r="E143" s="757"/>
    </row>
    <row r="144" spans="2:5" ht="12.75">
      <c r="B144" s="757"/>
      <c r="C144" s="757"/>
      <c r="D144" s="757"/>
      <c r="E144" s="757"/>
    </row>
    <row r="145" spans="2:5" ht="12.75">
      <c r="B145" s="757"/>
      <c r="C145" s="757"/>
      <c r="D145" s="757"/>
      <c r="E145" s="757"/>
    </row>
    <row r="146" spans="2:5" ht="12.75">
      <c r="B146" s="757"/>
      <c r="C146" s="757"/>
      <c r="D146" s="757"/>
      <c r="E146" s="757"/>
    </row>
    <row r="147" spans="2:5" ht="12.75">
      <c r="B147" s="757"/>
      <c r="C147" s="757"/>
      <c r="D147" s="757"/>
      <c r="E147" s="757"/>
    </row>
    <row r="148" spans="2:5" ht="12.75">
      <c r="B148" s="757"/>
      <c r="C148" s="757"/>
      <c r="D148" s="757"/>
      <c r="E148" s="757"/>
    </row>
    <row r="149" spans="2:5" ht="12.75">
      <c r="B149" s="757"/>
      <c r="C149" s="757"/>
      <c r="D149" s="757"/>
      <c r="E149" s="757"/>
    </row>
    <row r="150" spans="2:5" ht="12.75">
      <c r="B150" s="757"/>
      <c r="C150" s="757"/>
      <c r="D150" s="757"/>
      <c r="E150" s="757"/>
    </row>
    <row r="151" spans="2:5" ht="12.75">
      <c r="B151" s="757"/>
      <c r="C151" s="757"/>
      <c r="D151" s="757"/>
      <c r="E151" s="757"/>
    </row>
    <row r="152" spans="2:5" ht="12.75">
      <c r="B152" s="757"/>
      <c r="C152" s="757"/>
      <c r="D152" s="757"/>
      <c r="E152" s="757"/>
    </row>
    <row r="153" spans="2:5" ht="12.75">
      <c r="B153" s="757"/>
      <c r="C153" s="757"/>
      <c r="D153" s="757"/>
      <c r="E153" s="757"/>
    </row>
    <row r="154" spans="2:5" ht="12.75">
      <c r="B154" s="757"/>
      <c r="C154" s="757"/>
      <c r="D154" s="757"/>
      <c r="E154" s="757"/>
    </row>
    <row r="155" spans="2:5" ht="12.75">
      <c r="B155" s="757"/>
      <c r="C155" s="757"/>
      <c r="D155" s="757"/>
      <c r="E155" s="757"/>
    </row>
    <row r="156" spans="2:5" ht="12.75">
      <c r="B156" s="757"/>
      <c r="C156" s="757"/>
      <c r="D156" s="757"/>
      <c r="E156" s="757"/>
    </row>
    <row r="157" spans="2:5" ht="12.75">
      <c r="B157" s="757"/>
      <c r="C157" s="757"/>
      <c r="D157" s="757"/>
      <c r="E157" s="757"/>
    </row>
    <row r="158" spans="2:5" ht="12.75">
      <c r="B158" s="757"/>
      <c r="C158" s="757"/>
      <c r="D158" s="757"/>
      <c r="E158" s="757"/>
    </row>
    <row r="159" spans="2:5" ht="12.75">
      <c r="B159" s="757"/>
      <c r="C159" s="757"/>
      <c r="D159" s="757"/>
      <c r="E159" s="757"/>
    </row>
    <row r="160" spans="2:5" ht="12.75">
      <c r="B160" s="757"/>
      <c r="C160" s="757"/>
      <c r="D160" s="757"/>
      <c r="E160" s="757"/>
    </row>
    <row r="161" spans="2:5" ht="12.75">
      <c r="B161" s="757"/>
      <c r="C161" s="757"/>
      <c r="D161" s="757"/>
      <c r="E161" s="757"/>
    </row>
    <row r="162" spans="2:5" ht="12.75">
      <c r="B162" s="757"/>
      <c r="C162" s="757"/>
      <c r="D162" s="757"/>
      <c r="E162" s="757"/>
    </row>
    <row r="163" spans="2:5" ht="12.75">
      <c r="B163" s="757"/>
      <c r="C163" s="757"/>
      <c r="D163" s="757"/>
      <c r="E163" s="757"/>
    </row>
    <row r="164" spans="2:5" ht="12.75">
      <c r="B164" s="757"/>
      <c r="C164" s="757"/>
      <c r="D164" s="757"/>
      <c r="E164" s="757"/>
    </row>
    <row r="165" spans="2:5" ht="12.75">
      <c r="B165" s="757"/>
      <c r="C165" s="757"/>
      <c r="D165" s="757"/>
      <c r="E165" s="757"/>
    </row>
    <row r="166" spans="2:5" ht="12.75">
      <c r="B166" s="757"/>
      <c r="C166" s="757"/>
      <c r="D166" s="757"/>
      <c r="E166" s="757"/>
    </row>
    <row r="167" spans="2:5" ht="12.75">
      <c r="B167" s="757"/>
      <c r="C167" s="757"/>
      <c r="D167" s="757"/>
      <c r="E167" s="757"/>
    </row>
  </sheetData>
  <sheetProtection/>
  <mergeCells count="7">
    <mergeCell ref="A31:F31"/>
    <mergeCell ref="A37:F37"/>
    <mergeCell ref="A38:A39"/>
    <mergeCell ref="A1:E1"/>
    <mergeCell ref="A3:F3"/>
    <mergeCell ref="A12:F12"/>
    <mergeCell ref="A26:F26"/>
  </mergeCells>
  <printOptions horizontalCentered="1"/>
  <pageMargins left="0.5905511811023623" right="0.3937007874015748" top="0.7480314960629921" bottom="0.7480314960629921" header="0.31496062992125984" footer="0.31496062992125984"/>
  <pageSetup fitToHeight="1" fitToWidth="1" horizontalDpi="600" verticalDpi="600" orientation="portrait" paperSize="9" scale="74" r:id="rId1"/>
  <headerFooter alignWithMargins="0">
    <oddFooter>&amp;L&amp;"Times New Roman CE,Obyčejné"&amp;8Závěrečný účet za rok 2018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5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F32" sqref="F32"/>
    </sheetView>
  </sheetViews>
  <sheetFormatPr defaultColWidth="9.00390625" defaultRowHeight="12.75"/>
  <cols>
    <col min="1" max="1" width="23.375" style="974" customWidth="1"/>
    <col min="2" max="5" width="14.75390625" style="974" customWidth="1"/>
    <col min="6" max="6" width="12.125" style="974" customWidth="1"/>
    <col min="7" max="7" width="9.125" style="974" customWidth="1"/>
    <col min="8" max="8" width="13.25390625" style="974" bestFit="1" customWidth="1"/>
    <col min="9" max="16384" width="9.125" style="974" customWidth="1"/>
  </cols>
  <sheetData>
    <row r="1" spans="1:7" ht="61.5" customHeight="1">
      <c r="A1" s="1599" t="s">
        <v>744</v>
      </c>
      <c r="B1" s="1599"/>
      <c r="C1" s="1599"/>
      <c r="D1" s="1599"/>
      <c r="E1" s="1599"/>
      <c r="F1" s="1208" t="s">
        <v>745</v>
      </c>
      <c r="G1" s="1254"/>
    </row>
    <row r="2" spans="1:7" ht="24" customHeight="1">
      <c r="A2" s="1600" t="s">
        <v>746</v>
      </c>
      <c r="B2" s="1603" t="s">
        <v>747</v>
      </c>
      <c r="C2" s="1604"/>
      <c r="D2" s="1605"/>
      <c r="E2" s="1596" t="s">
        <v>751</v>
      </c>
      <c r="F2" s="1597"/>
      <c r="G2" s="1255"/>
    </row>
    <row r="3" spans="1:6" ht="18" customHeight="1">
      <c r="A3" s="1601"/>
      <c r="B3" s="1606" t="s">
        <v>42</v>
      </c>
      <c r="C3" s="1608" t="s">
        <v>748</v>
      </c>
      <c r="D3" s="1609"/>
      <c r="E3" s="1610" t="s">
        <v>571</v>
      </c>
      <c r="F3" s="1612" t="s">
        <v>245</v>
      </c>
    </row>
    <row r="4" spans="1:6" ht="18" customHeight="1">
      <c r="A4" s="1602"/>
      <c r="B4" s="1607"/>
      <c r="C4" s="1296" t="s">
        <v>749</v>
      </c>
      <c r="D4" s="1297" t="s">
        <v>750</v>
      </c>
      <c r="E4" s="1611"/>
      <c r="F4" s="1613"/>
    </row>
    <row r="5" spans="1:6" ht="18.75" customHeight="1">
      <c r="A5" s="1258" t="s">
        <v>72</v>
      </c>
      <c r="B5" s="1262">
        <f>C5+D5</f>
        <v>270122.98</v>
      </c>
      <c r="C5" s="1263">
        <v>160000</v>
      </c>
      <c r="D5" s="1264">
        <v>110122.98</v>
      </c>
      <c r="E5" s="1265">
        <v>0</v>
      </c>
      <c r="F5" s="1266">
        <v>0</v>
      </c>
    </row>
    <row r="6" spans="1:6" ht="18.75" customHeight="1">
      <c r="A6" s="1258" t="s">
        <v>246</v>
      </c>
      <c r="B6" s="1262">
        <f aca="true" t="shared" si="0" ref="B6:B17">C6+D6</f>
        <v>765622.1000000001</v>
      </c>
      <c r="C6" s="1263">
        <v>612497.68</v>
      </c>
      <c r="D6" s="1264">
        <v>153124.42</v>
      </c>
      <c r="E6" s="1265">
        <v>41459.72</v>
      </c>
      <c r="F6" s="1266">
        <v>0</v>
      </c>
    </row>
    <row r="7" spans="1:6" ht="18.75" customHeight="1">
      <c r="A7" s="1258" t="s">
        <v>73</v>
      </c>
      <c r="B7" s="1262">
        <f t="shared" si="0"/>
        <v>246250.28</v>
      </c>
      <c r="C7" s="1263">
        <v>162525</v>
      </c>
      <c r="D7" s="1264">
        <v>83725.28</v>
      </c>
      <c r="E7" s="1265">
        <v>16288</v>
      </c>
      <c r="F7" s="1266">
        <v>0</v>
      </c>
    </row>
    <row r="8" spans="1:6" ht="18.75" customHeight="1">
      <c r="A8" s="1258" t="s">
        <v>247</v>
      </c>
      <c r="B8" s="1262">
        <f t="shared" si="0"/>
        <v>461228.9</v>
      </c>
      <c r="C8" s="1263">
        <v>0</v>
      </c>
      <c r="D8" s="1264">
        <v>461228.9</v>
      </c>
      <c r="E8" s="1265">
        <v>51372.7</v>
      </c>
      <c r="F8" s="1266">
        <v>0</v>
      </c>
    </row>
    <row r="9" spans="1:6" ht="18.75" customHeight="1">
      <c r="A9" s="1258" t="s">
        <v>248</v>
      </c>
      <c r="B9" s="1262">
        <f t="shared" si="0"/>
        <v>331273.7</v>
      </c>
      <c r="C9" s="1263">
        <v>260000</v>
      </c>
      <c r="D9" s="1264">
        <v>71273.7</v>
      </c>
      <c r="E9" s="1265">
        <v>305180.22</v>
      </c>
      <c r="F9" s="1266">
        <v>0</v>
      </c>
    </row>
    <row r="10" spans="1:6" ht="18.75" customHeight="1">
      <c r="A10" s="1258" t="s">
        <v>75</v>
      </c>
      <c r="B10" s="1262">
        <f t="shared" si="0"/>
        <v>239218.19</v>
      </c>
      <c r="C10" s="1263">
        <v>140000</v>
      </c>
      <c r="D10" s="1264">
        <v>99218.19</v>
      </c>
      <c r="E10" s="1265">
        <v>282</v>
      </c>
      <c r="F10" s="1266">
        <v>0</v>
      </c>
    </row>
    <row r="11" spans="1:6" ht="18.75" customHeight="1">
      <c r="A11" s="1258" t="s">
        <v>76</v>
      </c>
      <c r="B11" s="1262">
        <f t="shared" si="0"/>
        <v>255826.13</v>
      </c>
      <c r="C11" s="1263">
        <v>0</v>
      </c>
      <c r="D11" s="1264">
        <v>255826.13</v>
      </c>
      <c r="E11" s="1265">
        <v>2650</v>
      </c>
      <c r="F11" s="1266">
        <v>0</v>
      </c>
    </row>
    <row r="12" spans="1:6" ht="18.75" customHeight="1">
      <c r="A12" s="1258" t="s">
        <v>77</v>
      </c>
      <c r="B12" s="1262">
        <f t="shared" si="0"/>
        <v>201447</v>
      </c>
      <c r="C12" s="1263">
        <v>120000</v>
      </c>
      <c r="D12" s="1264">
        <v>81447</v>
      </c>
      <c r="E12" s="1265">
        <v>1163</v>
      </c>
      <c r="F12" s="1266">
        <v>0</v>
      </c>
    </row>
    <row r="13" spans="1:6" ht="18.75" customHeight="1">
      <c r="A13" s="1258" t="s">
        <v>78</v>
      </c>
      <c r="B13" s="1262">
        <f t="shared" si="0"/>
        <v>286280.64</v>
      </c>
      <c r="C13" s="1263">
        <v>114512</v>
      </c>
      <c r="D13" s="1264">
        <v>171768.64</v>
      </c>
      <c r="E13" s="1267">
        <v>2835038.75</v>
      </c>
      <c r="F13" s="1266">
        <v>0</v>
      </c>
    </row>
    <row r="14" spans="1:6" ht="18.75" customHeight="1">
      <c r="A14" s="1258" t="s">
        <v>79</v>
      </c>
      <c r="B14" s="1262">
        <f t="shared" si="0"/>
        <v>546610.4</v>
      </c>
      <c r="C14" s="1263">
        <v>246000</v>
      </c>
      <c r="D14" s="1264">
        <v>300610.4</v>
      </c>
      <c r="E14" s="1265">
        <v>7558</v>
      </c>
      <c r="F14" s="1266">
        <v>0</v>
      </c>
    </row>
    <row r="15" spans="1:6" ht="18.75" customHeight="1">
      <c r="A15" s="1258" t="s">
        <v>80</v>
      </c>
      <c r="B15" s="1262">
        <f t="shared" si="0"/>
        <v>157386</v>
      </c>
      <c r="C15" s="1263">
        <v>78693</v>
      </c>
      <c r="D15" s="1264">
        <v>78693</v>
      </c>
      <c r="E15" s="1265">
        <v>7500</v>
      </c>
      <c r="F15" s="1266">
        <v>0</v>
      </c>
    </row>
    <row r="16" spans="1:6" ht="18.75" customHeight="1" thickBot="1">
      <c r="A16" s="1268" t="s">
        <v>81</v>
      </c>
      <c r="B16" s="1269">
        <f t="shared" si="0"/>
        <v>446026.42</v>
      </c>
      <c r="C16" s="1270">
        <v>356821</v>
      </c>
      <c r="D16" s="1271">
        <v>89205.42</v>
      </c>
      <c r="E16" s="1272">
        <v>14008</v>
      </c>
      <c r="F16" s="1273">
        <v>0</v>
      </c>
    </row>
    <row r="17" spans="1:9" ht="23.25" customHeight="1" thickTop="1">
      <c r="A17" s="1274" t="s">
        <v>82</v>
      </c>
      <c r="B17" s="1275">
        <f t="shared" si="0"/>
        <v>4207292.74</v>
      </c>
      <c r="C17" s="1276">
        <f>SUM(C5:C16)</f>
        <v>2251048.68</v>
      </c>
      <c r="D17" s="1277">
        <f>SUM(D5:D16)</f>
        <v>1956244.06</v>
      </c>
      <c r="E17" s="1278">
        <f>SUM(E5:E16)</f>
        <v>3282500.39</v>
      </c>
      <c r="F17" s="1279">
        <f>SUM(F5:F16)</f>
        <v>0</v>
      </c>
      <c r="H17" s="1256"/>
      <c r="I17" s="1256"/>
    </row>
    <row r="18" spans="1:253" ht="18.75" customHeight="1">
      <c r="A18" s="1258" t="s">
        <v>249</v>
      </c>
      <c r="B18" s="1262">
        <f>C18+D18</f>
        <v>112151</v>
      </c>
      <c r="C18" s="1263">
        <v>0</v>
      </c>
      <c r="D18" s="1264">
        <v>112151</v>
      </c>
      <c r="E18" s="1265">
        <v>5297</v>
      </c>
      <c r="F18" s="1266">
        <v>0</v>
      </c>
      <c r="G18" s="1209"/>
      <c r="H18" s="1212"/>
      <c r="I18" s="1257"/>
      <c r="J18" s="1209"/>
      <c r="K18" s="1209"/>
      <c r="L18" s="1209"/>
      <c r="M18" s="1209"/>
      <c r="N18" s="1209"/>
      <c r="O18" s="1209"/>
      <c r="P18" s="1209"/>
      <c r="Q18" s="1209"/>
      <c r="R18" s="1209"/>
      <c r="S18" s="1209"/>
      <c r="T18" s="1209"/>
      <c r="U18" s="1209"/>
      <c r="V18" s="1209"/>
      <c r="W18" s="1209"/>
      <c r="X18" s="1209"/>
      <c r="Y18" s="1209"/>
      <c r="Z18" s="1209"/>
      <c r="AA18" s="1209"/>
      <c r="AB18" s="1209"/>
      <c r="AC18" s="1209"/>
      <c r="AD18" s="1209"/>
      <c r="AE18" s="1209"/>
      <c r="AF18" s="1209"/>
      <c r="AG18" s="1209"/>
      <c r="AH18" s="1209"/>
      <c r="AI18" s="1209"/>
      <c r="AJ18" s="1209"/>
      <c r="AK18" s="1209"/>
      <c r="AL18" s="1209"/>
      <c r="AM18" s="1209"/>
      <c r="AN18" s="1209"/>
      <c r="AO18" s="1209"/>
      <c r="AP18" s="1209"/>
      <c r="AQ18" s="1209"/>
      <c r="AR18" s="1209"/>
      <c r="AS18" s="1209"/>
      <c r="AT18" s="1209"/>
      <c r="AU18" s="1209"/>
      <c r="AV18" s="1209"/>
      <c r="AW18" s="1209"/>
      <c r="AX18" s="1209"/>
      <c r="AY18" s="1209"/>
      <c r="AZ18" s="1209"/>
      <c r="BA18" s="1209"/>
      <c r="BB18" s="1209"/>
      <c r="BC18" s="1209"/>
      <c r="BD18" s="1209"/>
      <c r="BE18" s="1209"/>
      <c r="BF18" s="1209"/>
      <c r="BG18" s="1209"/>
      <c r="BH18" s="1209"/>
      <c r="BI18" s="1209"/>
      <c r="BJ18" s="1209"/>
      <c r="BK18" s="1209"/>
      <c r="BL18" s="1209"/>
      <c r="BM18" s="1209"/>
      <c r="BN18" s="1209"/>
      <c r="BO18" s="1209"/>
      <c r="BP18" s="1209"/>
      <c r="BQ18" s="1209"/>
      <c r="BR18" s="1209"/>
      <c r="BS18" s="1209"/>
      <c r="BT18" s="1209"/>
      <c r="BU18" s="1209"/>
      <c r="BV18" s="1209"/>
      <c r="BW18" s="1209"/>
      <c r="BX18" s="1209"/>
      <c r="BY18" s="1209"/>
      <c r="BZ18" s="1209"/>
      <c r="CA18" s="1209"/>
      <c r="CB18" s="1209"/>
      <c r="CC18" s="1209"/>
      <c r="CD18" s="1209"/>
      <c r="CE18" s="1209"/>
      <c r="CF18" s="1209"/>
      <c r="CG18" s="1209"/>
      <c r="CH18" s="1209"/>
      <c r="CI18" s="1209"/>
      <c r="CJ18" s="1209"/>
      <c r="CK18" s="1209"/>
      <c r="CL18" s="1209"/>
      <c r="CM18" s="1209"/>
      <c r="CN18" s="1209"/>
      <c r="CO18" s="1209"/>
      <c r="CP18" s="1209"/>
      <c r="CQ18" s="1209"/>
      <c r="CR18" s="1209"/>
      <c r="CS18" s="1209"/>
      <c r="CT18" s="1209"/>
      <c r="CU18" s="1209"/>
      <c r="CV18" s="1209"/>
      <c r="CW18" s="1209"/>
      <c r="CX18" s="1209"/>
      <c r="CY18" s="1209"/>
      <c r="CZ18" s="1209"/>
      <c r="DA18" s="1209"/>
      <c r="DB18" s="1209"/>
      <c r="DC18" s="1209"/>
      <c r="DD18" s="1209"/>
      <c r="DE18" s="1209"/>
      <c r="DF18" s="1209"/>
      <c r="DG18" s="1209"/>
      <c r="DH18" s="1209"/>
      <c r="DI18" s="1209"/>
      <c r="DJ18" s="1209"/>
      <c r="DK18" s="1209"/>
      <c r="DL18" s="1209"/>
      <c r="DM18" s="1209"/>
      <c r="DN18" s="1209"/>
      <c r="DO18" s="1209"/>
      <c r="DP18" s="1209"/>
      <c r="DQ18" s="1209"/>
      <c r="DR18" s="1209"/>
      <c r="DS18" s="1209"/>
      <c r="DT18" s="1209"/>
      <c r="DU18" s="1209"/>
      <c r="DV18" s="1209"/>
      <c r="DW18" s="1209"/>
      <c r="DX18" s="1209"/>
      <c r="DY18" s="1209"/>
      <c r="DZ18" s="1209"/>
      <c r="EA18" s="1209"/>
      <c r="EB18" s="1209"/>
      <c r="EC18" s="1209"/>
      <c r="ED18" s="1209"/>
      <c r="EE18" s="1209"/>
      <c r="EF18" s="1209"/>
      <c r="EG18" s="1209"/>
      <c r="EH18" s="1209"/>
      <c r="EI18" s="1209"/>
      <c r="EJ18" s="1209"/>
      <c r="EK18" s="1209"/>
      <c r="EL18" s="1209"/>
      <c r="EM18" s="1209"/>
      <c r="EN18" s="1209"/>
      <c r="EO18" s="1209"/>
      <c r="EP18" s="1209"/>
      <c r="EQ18" s="1209"/>
      <c r="ER18" s="1209"/>
      <c r="ES18" s="1209"/>
      <c r="ET18" s="1209"/>
      <c r="EU18" s="1209"/>
      <c r="EV18" s="1209"/>
      <c r="EW18" s="1209"/>
      <c r="EX18" s="1209"/>
      <c r="EY18" s="1209"/>
      <c r="EZ18" s="1209"/>
      <c r="FA18" s="1209"/>
      <c r="FB18" s="1209"/>
      <c r="FC18" s="1209"/>
      <c r="FD18" s="1209"/>
      <c r="FE18" s="1209"/>
      <c r="FF18" s="1209"/>
      <c r="FG18" s="1209"/>
      <c r="FH18" s="1209"/>
      <c r="FI18" s="1209"/>
      <c r="FJ18" s="1209"/>
      <c r="FK18" s="1209"/>
      <c r="FL18" s="1209"/>
      <c r="FM18" s="1209"/>
      <c r="FN18" s="1209"/>
      <c r="FO18" s="1209"/>
      <c r="FP18" s="1209"/>
      <c r="FQ18" s="1209"/>
      <c r="FR18" s="1209"/>
      <c r="FS18" s="1209"/>
      <c r="FT18" s="1209"/>
      <c r="FU18" s="1209"/>
      <c r="FV18" s="1209"/>
      <c r="FW18" s="1209"/>
      <c r="FX18" s="1209"/>
      <c r="FY18" s="1209"/>
      <c r="FZ18" s="1209"/>
      <c r="GA18" s="1209"/>
      <c r="GB18" s="1209"/>
      <c r="GC18" s="1209"/>
      <c r="GD18" s="1209"/>
      <c r="GE18" s="1209"/>
      <c r="GF18" s="1209"/>
      <c r="GG18" s="1209"/>
      <c r="GH18" s="1209"/>
      <c r="GI18" s="1209"/>
      <c r="GJ18" s="1209"/>
      <c r="GK18" s="1209"/>
      <c r="GL18" s="1209"/>
      <c r="GM18" s="1209"/>
      <c r="GN18" s="1209"/>
      <c r="GO18" s="1209"/>
      <c r="GP18" s="1209"/>
      <c r="GQ18" s="1209"/>
      <c r="GR18" s="1209"/>
      <c r="GS18" s="1209"/>
      <c r="GT18" s="1209"/>
      <c r="GU18" s="1209"/>
      <c r="GV18" s="1209"/>
      <c r="GW18" s="1209"/>
      <c r="GX18" s="1209"/>
      <c r="GY18" s="1209"/>
      <c r="GZ18" s="1209"/>
      <c r="HA18" s="1209"/>
      <c r="HB18" s="1209"/>
      <c r="HC18" s="1209"/>
      <c r="HD18" s="1209"/>
      <c r="HE18" s="1209"/>
      <c r="HF18" s="1209"/>
      <c r="HG18" s="1209"/>
      <c r="HH18" s="1209"/>
      <c r="HI18" s="1209"/>
      <c r="HJ18" s="1209"/>
      <c r="HK18" s="1209"/>
      <c r="HL18" s="1209"/>
      <c r="HM18" s="1209"/>
      <c r="HN18" s="1209"/>
      <c r="HO18" s="1209"/>
      <c r="HP18" s="1209"/>
      <c r="HQ18" s="1209"/>
      <c r="HR18" s="1209"/>
      <c r="HS18" s="1209"/>
      <c r="HT18" s="1209"/>
      <c r="HU18" s="1209"/>
      <c r="HV18" s="1209"/>
      <c r="HW18" s="1209"/>
      <c r="HX18" s="1209"/>
      <c r="HY18" s="1209"/>
      <c r="HZ18" s="1209"/>
      <c r="IA18" s="1209"/>
      <c r="IB18" s="1209"/>
      <c r="IC18" s="1209"/>
      <c r="ID18" s="1209"/>
      <c r="IE18" s="1209"/>
      <c r="IF18" s="1209"/>
      <c r="IG18" s="1209"/>
      <c r="IH18" s="1209"/>
      <c r="II18" s="1209"/>
      <c r="IJ18" s="1209"/>
      <c r="IK18" s="1209"/>
      <c r="IL18" s="1209"/>
      <c r="IM18" s="1209"/>
      <c r="IN18" s="1209"/>
      <c r="IO18" s="1209"/>
      <c r="IP18" s="1209"/>
      <c r="IQ18" s="1209"/>
      <c r="IR18" s="1209"/>
      <c r="IS18" s="1209"/>
    </row>
    <row r="19" spans="1:9" ht="18.75" customHeight="1">
      <c r="A19" s="1258" t="s">
        <v>250</v>
      </c>
      <c r="B19" s="1262">
        <f aca="true" t="shared" si="1" ref="B19:B33">C19+D19</f>
        <v>157287</v>
      </c>
      <c r="C19" s="1263">
        <v>67287</v>
      </c>
      <c r="D19" s="1264">
        <v>90000</v>
      </c>
      <c r="E19" s="1265">
        <v>1825</v>
      </c>
      <c r="F19" s="1266">
        <v>0</v>
      </c>
      <c r="H19" s="1256"/>
      <c r="I19" s="1256"/>
    </row>
    <row r="20" spans="1:9" ht="18.75" customHeight="1">
      <c r="A20" s="1258" t="s">
        <v>251</v>
      </c>
      <c r="B20" s="1262">
        <f t="shared" si="1"/>
        <v>94746.4</v>
      </c>
      <c r="C20" s="1263">
        <v>75796</v>
      </c>
      <c r="D20" s="1264">
        <v>18950.4</v>
      </c>
      <c r="E20" s="1265">
        <v>3800</v>
      </c>
      <c r="F20" s="1266">
        <v>0</v>
      </c>
      <c r="H20" s="1256"/>
      <c r="I20" s="1256"/>
    </row>
    <row r="21" spans="1:9" ht="18.75" customHeight="1">
      <c r="A21" s="1258" t="s">
        <v>252</v>
      </c>
      <c r="B21" s="1262">
        <f t="shared" si="1"/>
        <v>105209</v>
      </c>
      <c r="C21" s="1263">
        <v>35209</v>
      </c>
      <c r="D21" s="1264">
        <v>70000</v>
      </c>
      <c r="E21" s="1265">
        <v>262203.27</v>
      </c>
      <c r="F21" s="1266">
        <v>0</v>
      </c>
      <c r="H21" s="1256"/>
      <c r="I21" s="1256"/>
    </row>
    <row r="22" spans="1:9" ht="18.75" customHeight="1">
      <c r="A22" s="1258" t="s">
        <v>253</v>
      </c>
      <c r="B22" s="1262">
        <f t="shared" si="1"/>
        <v>111776.5</v>
      </c>
      <c r="C22" s="1263">
        <v>0</v>
      </c>
      <c r="D22" s="1264">
        <v>111776.5</v>
      </c>
      <c r="E22" s="1265">
        <v>12868</v>
      </c>
      <c r="F22" s="1266">
        <v>0</v>
      </c>
      <c r="H22" s="1256"/>
      <c r="I22" s="1256"/>
    </row>
    <row r="23" spans="1:9" ht="18.75" customHeight="1">
      <c r="A23" s="1258" t="s">
        <v>88</v>
      </c>
      <c r="B23" s="1262">
        <f t="shared" si="1"/>
        <v>124102</v>
      </c>
      <c r="C23" s="1263">
        <v>0</v>
      </c>
      <c r="D23" s="1264">
        <v>124102</v>
      </c>
      <c r="E23" s="1265">
        <v>15000</v>
      </c>
      <c r="F23" s="1266">
        <v>0</v>
      </c>
      <c r="H23" s="1256"/>
      <c r="I23" s="1256"/>
    </row>
    <row r="24" spans="1:9" ht="18.75" customHeight="1">
      <c r="A24" s="1258" t="s">
        <v>89</v>
      </c>
      <c r="B24" s="1262">
        <f t="shared" si="1"/>
        <v>103694</v>
      </c>
      <c r="C24" s="1263">
        <v>82955</v>
      </c>
      <c r="D24" s="1264">
        <v>20739</v>
      </c>
      <c r="E24" s="1265">
        <v>8442</v>
      </c>
      <c r="F24" s="1266">
        <v>0</v>
      </c>
      <c r="H24" s="1256"/>
      <c r="I24" s="1256"/>
    </row>
    <row r="25" spans="1:9" ht="18.75" customHeight="1">
      <c r="A25" s="1258" t="s">
        <v>254</v>
      </c>
      <c r="B25" s="1262">
        <f t="shared" si="1"/>
        <v>201042.01</v>
      </c>
      <c r="C25" s="1263">
        <v>0</v>
      </c>
      <c r="D25" s="1264">
        <v>201042.01</v>
      </c>
      <c r="E25" s="1265">
        <v>11560</v>
      </c>
      <c r="F25" s="1266">
        <v>0</v>
      </c>
      <c r="H25" s="1256"/>
      <c r="I25" s="1256"/>
    </row>
    <row r="26" spans="1:9" ht="18.75" customHeight="1">
      <c r="A26" s="1258" t="s">
        <v>255</v>
      </c>
      <c r="B26" s="1262">
        <f t="shared" si="1"/>
        <v>171874</v>
      </c>
      <c r="C26" s="1263">
        <v>34375</v>
      </c>
      <c r="D26" s="1264">
        <v>137499</v>
      </c>
      <c r="E26" s="1265">
        <v>6000</v>
      </c>
      <c r="F26" s="1266">
        <v>0</v>
      </c>
      <c r="H26" s="1256"/>
      <c r="I26" s="1256"/>
    </row>
    <row r="27" spans="1:9" ht="18.75" customHeight="1">
      <c r="A27" s="1258" t="s">
        <v>256</v>
      </c>
      <c r="B27" s="1262">
        <f t="shared" si="1"/>
        <v>128655.87</v>
      </c>
      <c r="C27" s="1263">
        <v>8655.87</v>
      </c>
      <c r="D27" s="1264">
        <v>120000</v>
      </c>
      <c r="E27" s="1265">
        <v>81721</v>
      </c>
      <c r="F27" s="1266">
        <v>0</v>
      </c>
      <c r="H27" s="1256"/>
      <c r="I27" s="1256"/>
    </row>
    <row r="28" spans="1:9" ht="18.75" customHeight="1">
      <c r="A28" s="1258" t="s">
        <v>257</v>
      </c>
      <c r="B28" s="1262">
        <f t="shared" si="1"/>
        <v>258452.5</v>
      </c>
      <c r="C28" s="1263">
        <v>50000</v>
      </c>
      <c r="D28" s="1264">
        <v>208452.5</v>
      </c>
      <c r="E28" s="1265">
        <v>982</v>
      </c>
      <c r="F28" s="1266">
        <v>0</v>
      </c>
      <c r="H28" s="1256"/>
      <c r="I28" s="1256"/>
    </row>
    <row r="29" spans="1:9" ht="18.75" customHeight="1">
      <c r="A29" s="1258" t="s">
        <v>258</v>
      </c>
      <c r="B29" s="1262">
        <f t="shared" si="1"/>
        <v>198625</v>
      </c>
      <c r="C29" s="1263">
        <v>0</v>
      </c>
      <c r="D29" s="1264">
        <v>198625</v>
      </c>
      <c r="E29" s="1265">
        <v>33665</v>
      </c>
      <c r="F29" s="1266">
        <v>0</v>
      </c>
      <c r="H29" s="1256"/>
      <c r="I29" s="1256"/>
    </row>
    <row r="30" spans="1:9" ht="18.75" customHeight="1" thickBot="1">
      <c r="A30" s="1268" t="s">
        <v>752</v>
      </c>
      <c r="B30" s="1269">
        <f t="shared" si="1"/>
        <v>137045</v>
      </c>
      <c r="C30" s="1270">
        <v>27409</v>
      </c>
      <c r="D30" s="1271">
        <v>109636</v>
      </c>
      <c r="E30" s="1272">
        <v>3543</v>
      </c>
      <c r="F30" s="1273">
        <v>0</v>
      </c>
      <c r="H30" s="1256"/>
      <c r="I30" s="1256"/>
    </row>
    <row r="31" spans="1:9" ht="24" customHeight="1" thickTop="1">
      <c r="A31" s="1274" t="s">
        <v>96</v>
      </c>
      <c r="B31" s="1275">
        <f>SUM(B18:B30)</f>
        <v>1904660.2800000003</v>
      </c>
      <c r="C31" s="1276">
        <f>SUM(C18:C30)</f>
        <v>381686.87</v>
      </c>
      <c r="D31" s="1277">
        <f>SUM(D18:D30)</f>
        <v>1522973.4100000001</v>
      </c>
      <c r="E31" s="1278">
        <f>SUM(E18:E30)</f>
        <v>446906.27</v>
      </c>
      <c r="F31" s="1279">
        <f>SUM(F18:F30)</f>
        <v>0</v>
      </c>
      <c r="H31" s="1256"/>
      <c r="I31" s="1256"/>
    </row>
    <row r="32" spans="1:9" ht="18.75" customHeight="1">
      <c r="A32" s="1280" t="s">
        <v>97</v>
      </c>
      <c r="B32" s="1262">
        <f>C32+D32</f>
        <v>58078.14</v>
      </c>
      <c r="C32" s="1281">
        <v>0</v>
      </c>
      <c r="D32" s="1282">
        <v>58078.14</v>
      </c>
      <c r="E32" s="1283">
        <v>1713475.4</v>
      </c>
      <c r="F32" s="1284">
        <v>0</v>
      </c>
      <c r="H32" s="1256"/>
      <c r="I32" s="1256"/>
    </row>
    <row r="33" spans="1:253" ht="17.25" customHeight="1" thickBot="1">
      <c r="A33" s="1258" t="s">
        <v>185</v>
      </c>
      <c r="B33" s="1269">
        <f t="shared" si="1"/>
        <v>184729.25</v>
      </c>
      <c r="C33" s="1263">
        <v>0</v>
      </c>
      <c r="D33" s="1264">
        <v>184729.25</v>
      </c>
      <c r="E33" s="1265">
        <v>0</v>
      </c>
      <c r="F33" s="1266">
        <v>0</v>
      </c>
      <c r="G33" s="1259"/>
      <c r="H33" s="1260"/>
      <c r="I33" s="1260"/>
      <c r="J33" s="1259"/>
      <c r="K33" s="1259"/>
      <c r="L33" s="1259"/>
      <c r="M33" s="1259"/>
      <c r="N33" s="1259"/>
      <c r="O33" s="1259"/>
      <c r="P33" s="1259"/>
      <c r="Q33" s="1259"/>
      <c r="R33" s="1259"/>
      <c r="S33" s="1259"/>
      <c r="T33" s="1259"/>
      <c r="U33" s="1259"/>
      <c r="V33" s="1259"/>
      <c r="W33" s="1259"/>
      <c r="X33" s="1259"/>
      <c r="Y33" s="1259"/>
      <c r="Z33" s="1259"/>
      <c r="AA33" s="1259"/>
      <c r="AB33" s="1259"/>
      <c r="AC33" s="1259"/>
      <c r="AD33" s="1259"/>
      <c r="AE33" s="1259"/>
      <c r="AF33" s="1259"/>
      <c r="AG33" s="1259"/>
      <c r="AH33" s="1259"/>
      <c r="AI33" s="1259"/>
      <c r="AJ33" s="1259"/>
      <c r="AK33" s="1259"/>
      <c r="AL33" s="1259"/>
      <c r="AM33" s="1259"/>
      <c r="AN33" s="1259"/>
      <c r="AO33" s="1259"/>
      <c r="AP33" s="1259"/>
      <c r="AQ33" s="1259"/>
      <c r="AR33" s="1259"/>
      <c r="AS33" s="1259"/>
      <c r="AT33" s="1259"/>
      <c r="AU33" s="1259"/>
      <c r="AV33" s="1259"/>
      <c r="AW33" s="1259"/>
      <c r="AX33" s="1259"/>
      <c r="AY33" s="1259"/>
      <c r="AZ33" s="1259"/>
      <c r="BA33" s="1259"/>
      <c r="BB33" s="1259"/>
      <c r="BC33" s="1259"/>
      <c r="BD33" s="1259"/>
      <c r="BE33" s="1259"/>
      <c r="BF33" s="1259"/>
      <c r="BG33" s="1259"/>
      <c r="BH33" s="1259"/>
      <c r="BI33" s="1259"/>
      <c r="BJ33" s="1259"/>
      <c r="BK33" s="1259"/>
      <c r="BL33" s="1259"/>
      <c r="BM33" s="1259"/>
      <c r="BN33" s="1259"/>
      <c r="BO33" s="1259"/>
      <c r="BP33" s="1259"/>
      <c r="BQ33" s="1259"/>
      <c r="BR33" s="1259"/>
      <c r="BS33" s="1259"/>
      <c r="BT33" s="1259"/>
      <c r="BU33" s="1259"/>
      <c r="BV33" s="1259"/>
      <c r="BW33" s="1259"/>
      <c r="BX33" s="1259"/>
      <c r="BY33" s="1259"/>
      <c r="BZ33" s="1259"/>
      <c r="CA33" s="1259"/>
      <c r="CB33" s="1259"/>
      <c r="CC33" s="1259"/>
      <c r="CD33" s="1259"/>
      <c r="CE33" s="1259"/>
      <c r="CF33" s="1259"/>
      <c r="CG33" s="1259"/>
      <c r="CH33" s="1259"/>
      <c r="CI33" s="1259"/>
      <c r="CJ33" s="1259"/>
      <c r="CK33" s="1259"/>
      <c r="CL33" s="1259"/>
      <c r="CM33" s="1259"/>
      <c r="CN33" s="1259"/>
      <c r="CO33" s="1259"/>
      <c r="CP33" s="1259"/>
      <c r="CQ33" s="1259"/>
      <c r="CR33" s="1259"/>
      <c r="CS33" s="1259"/>
      <c r="CT33" s="1259"/>
      <c r="CU33" s="1259"/>
      <c r="CV33" s="1259"/>
      <c r="CW33" s="1259"/>
      <c r="CX33" s="1259"/>
      <c r="CY33" s="1259"/>
      <c r="CZ33" s="1259"/>
      <c r="DA33" s="1259"/>
      <c r="DB33" s="1259"/>
      <c r="DC33" s="1259"/>
      <c r="DD33" s="1259"/>
      <c r="DE33" s="1259"/>
      <c r="DF33" s="1259"/>
      <c r="DG33" s="1259"/>
      <c r="DH33" s="1259"/>
      <c r="DI33" s="1259"/>
      <c r="DJ33" s="1259"/>
      <c r="DK33" s="1259"/>
      <c r="DL33" s="1259"/>
      <c r="DM33" s="1259"/>
      <c r="DN33" s="1259"/>
      <c r="DO33" s="1259"/>
      <c r="DP33" s="1259"/>
      <c r="DQ33" s="1259"/>
      <c r="DR33" s="1259"/>
      <c r="DS33" s="1259"/>
      <c r="DT33" s="1259"/>
      <c r="DU33" s="1259"/>
      <c r="DV33" s="1259"/>
      <c r="DW33" s="1259"/>
      <c r="DX33" s="1259"/>
      <c r="DY33" s="1259"/>
      <c r="DZ33" s="1259"/>
      <c r="EA33" s="1259"/>
      <c r="EB33" s="1259"/>
      <c r="EC33" s="1259"/>
      <c r="ED33" s="1259"/>
      <c r="EE33" s="1259"/>
      <c r="EF33" s="1259"/>
      <c r="EG33" s="1259"/>
      <c r="EH33" s="1259"/>
      <c r="EI33" s="1259"/>
      <c r="EJ33" s="1259"/>
      <c r="EK33" s="1259"/>
      <c r="EL33" s="1259"/>
      <c r="EM33" s="1259"/>
      <c r="EN33" s="1259"/>
      <c r="EO33" s="1259"/>
      <c r="EP33" s="1259"/>
      <c r="EQ33" s="1259"/>
      <c r="ER33" s="1259"/>
      <c r="ES33" s="1259"/>
      <c r="ET33" s="1259"/>
      <c r="EU33" s="1259"/>
      <c r="EV33" s="1259"/>
      <c r="EW33" s="1259"/>
      <c r="EX33" s="1259"/>
      <c r="EY33" s="1259"/>
      <c r="EZ33" s="1259"/>
      <c r="FA33" s="1259"/>
      <c r="FB33" s="1259"/>
      <c r="FC33" s="1259"/>
      <c r="FD33" s="1259"/>
      <c r="FE33" s="1259"/>
      <c r="FF33" s="1259"/>
      <c r="FG33" s="1259"/>
      <c r="FH33" s="1259"/>
      <c r="FI33" s="1259"/>
      <c r="FJ33" s="1259"/>
      <c r="FK33" s="1259"/>
      <c r="FL33" s="1259"/>
      <c r="FM33" s="1259"/>
      <c r="FN33" s="1259"/>
      <c r="FO33" s="1259"/>
      <c r="FP33" s="1259"/>
      <c r="FQ33" s="1259"/>
      <c r="FR33" s="1259"/>
      <c r="FS33" s="1259"/>
      <c r="FT33" s="1259"/>
      <c r="FU33" s="1259"/>
      <c r="FV33" s="1259"/>
      <c r="FW33" s="1259"/>
      <c r="FX33" s="1259"/>
      <c r="FY33" s="1259"/>
      <c r="FZ33" s="1259"/>
      <c r="GA33" s="1259"/>
      <c r="GB33" s="1259"/>
      <c r="GC33" s="1259"/>
      <c r="GD33" s="1259"/>
      <c r="GE33" s="1259"/>
      <c r="GF33" s="1259"/>
      <c r="GG33" s="1259"/>
      <c r="GH33" s="1259"/>
      <c r="GI33" s="1259"/>
      <c r="GJ33" s="1259"/>
      <c r="GK33" s="1259"/>
      <c r="GL33" s="1259"/>
      <c r="GM33" s="1259"/>
      <c r="GN33" s="1259"/>
      <c r="GO33" s="1259"/>
      <c r="GP33" s="1259"/>
      <c r="GQ33" s="1259"/>
      <c r="GR33" s="1259"/>
      <c r="GS33" s="1259"/>
      <c r="GT33" s="1259"/>
      <c r="GU33" s="1259"/>
      <c r="GV33" s="1259"/>
      <c r="GW33" s="1259"/>
      <c r="GX33" s="1259"/>
      <c r="GY33" s="1259"/>
      <c r="GZ33" s="1259"/>
      <c r="HA33" s="1259"/>
      <c r="HB33" s="1259"/>
      <c r="HC33" s="1259"/>
      <c r="HD33" s="1259"/>
      <c r="HE33" s="1259"/>
      <c r="HF33" s="1259"/>
      <c r="HG33" s="1259"/>
      <c r="HH33" s="1259"/>
      <c r="HI33" s="1259"/>
      <c r="HJ33" s="1259"/>
      <c r="HK33" s="1259"/>
      <c r="HL33" s="1259"/>
      <c r="HM33" s="1259"/>
      <c r="HN33" s="1259"/>
      <c r="HO33" s="1259"/>
      <c r="HP33" s="1259"/>
      <c r="HQ33" s="1259"/>
      <c r="HR33" s="1259"/>
      <c r="HS33" s="1259"/>
      <c r="HT33" s="1259"/>
      <c r="HU33" s="1259"/>
      <c r="HV33" s="1259"/>
      <c r="HW33" s="1259"/>
      <c r="HX33" s="1259"/>
      <c r="HY33" s="1259"/>
      <c r="HZ33" s="1259"/>
      <c r="IA33" s="1259"/>
      <c r="IB33" s="1259"/>
      <c r="IC33" s="1259"/>
      <c r="ID33" s="1259"/>
      <c r="IE33" s="1259"/>
      <c r="IF33" s="1259"/>
      <c r="IG33" s="1259"/>
      <c r="IH33" s="1259"/>
      <c r="II33" s="1259"/>
      <c r="IJ33" s="1259"/>
      <c r="IK33" s="1259"/>
      <c r="IL33" s="1259"/>
      <c r="IM33" s="1259"/>
      <c r="IN33" s="1259"/>
      <c r="IO33" s="1259"/>
      <c r="IP33" s="1259"/>
      <c r="IQ33" s="1259"/>
      <c r="IR33" s="1259"/>
      <c r="IS33" s="1259"/>
    </row>
    <row r="34" spans="1:9" ht="27" customHeight="1" hidden="1" thickBot="1">
      <c r="A34" s="1261"/>
      <c r="B34" s="1285"/>
      <c r="C34" s="1286"/>
      <c r="D34" s="1287"/>
      <c r="E34" s="1288"/>
      <c r="F34" s="1289"/>
      <c r="H34" s="1256"/>
      <c r="I34" s="1256"/>
    </row>
    <row r="35" spans="1:9" ht="42" customHeight="1" thickTop="1">
      <c r="A35" s="1290" t="s">
        <v>62</v>
      </c>
      <c r="B35" s="1291">
        <f>B17++B31+B32+B33</f>
        <v>6354760.41</v>
      </c>
      <c r="C35" s="1292">
        <f>SUM(C17+C31+C32+C33+C34)</f>
        <v>2632735.5500000003</v>
      </c>
      <c r="D35" s="1293">
        <f>SUM(D17+D31+D32+D33+D34)</f>
        <v>3722024.8600000003</v>
      </c>
      <c r="E35" s="1294">
        <f>SUM(E17+E31+E32+E33+E34)</f>
        <v>5442882.0600000005</v>
      </c>
      <c r="F35" s="1295">
        <f>SUM(F17+F31+F32+F33+F34)</f>
        <v>0</v>
      </c>
      <c r="H35" s="1256"/>
      <c r="I35" s="1256"/>
    </row>
    <row r="36" spans="1:253" ht="10.5" customHeight="1">
      <c r="A36" s="1598"/>
      <c r="B36" s="1598"/>
      <c r="C36" s="1598"/>
      <c r="D36" s="1598"/>
      <c r="E36" s="1598"/>
      <c r="F36" s="1598"/>
      <c r="G36" s="753"/>
      <c r="H36" s="1212"/>
      <c r="I36" s="1212"/>
      <c r="J36" s="753"/>
      <c r="K36" s="753"/>
      <c r="L36" s="753"/>
      <c r="M36" s="753"/>
      <c r="N36" s="753"/>
      <c r="O36" s="753"/>
      <c r="P36" s="753"/>
      <c r="Q36" s="753"/>
      <c r="R36" s="753"/>
      <c r="S36" s="753"/>
      <c r="T36" s="753"/>
      <c r="U36" s="753"/>
      <c r="V36" s="753"/>
      <c r="W36" s="753"/>
      <c r="X36" s="753"/>
      <c r="Y36" s="753"/>
      <c r="Z36" s="753"/>
      <c r="AA36" s="753"/>
      <c r="AB36" s="753"/>
      <c r="AC36" s="753"/>
      <c r="AD36" s="753"/>
      <c r="AE36" s="753"/>
      <c r="AF36" s="753"/>
      <c r="AG36" s="753"/>
      <c r="AH36" s="753"/>
      <c r="AI36" s="753"/>
      <c r="AJ36" s="753"/>
      <c r="AK36" s="753"/>
      <c r="AL36" s="753"/>
      <c r="AM36" s="753"/>
      <c r="AN36" s="753"/>
      <c r="AO36" s="753"/>
      <c r="AP36" s="753"/>
      <c r="AQ36" s="753"/>
      <c r="AR36" s="753"/>
      <c r="AS36" s="753"/>
      <c r="AT36" s="753"/>
      <c r="AU36" s="753"/>
      <c r="AV36" s="753"/>
      <c r="AW36" s="753"/>
      <c r="AX36" s="753"/>
      <c r="AY36" s="753"/>
      <c r="AZ36" s="753"/>
      <c r="BA36" s="753"/>
      <c r="BB36" s="753"/>
      <c r="BC36" s="753"/>
      <c r="BD36" s="753"/>
      <c r="BE36" s="753"/>
      <c r="BF36" s="753"/>
      <c r="BG36" s="753"/>
      <c r="BH36" s="753"/>
      <c r="BI36" s="753"/>
      <c r="BJ36" s="753"/>
      <c r="BK36" s="753"/>
      <c r="BL36" s="753"/>
      <c r="BM36" s="753"/>
      <c r="BN36" s="753"/>
      <c r="BO36" s="753"/>
      <c r="BP36" s="753"/>
      <c r="BQ36" s="753"/>
      <c r="BR36" s="753"/>
      <c r="BS36" s="753"/>
      <c r="BT36" s="753"/>
      <c r="BU36" s="753"/>
      <c r="BV36" s="753"/>
      <c r="BW36" s="753"/>
      <c r="BX36" s="753"/>
      <c r="BY36" s="753"/>
      <c r="BZ36" s="753"/>
      <c r="CA36" s="753"/>
      <c r="CB36" s="753"/>
      <c r="CC36" s="753"/>
      <c r="CD36" s="753"/>
      <c r="CE36" s="753"/>
      <c r="CF36" s="753"/>
      <c r="CG36" s="753"/>
      <c r="CH36" s="753"/>
      <c r="CI36" s="753"/>
      <c r="CJ36" s="753"/>
      <c r="CK36" s="753"/>
      <c r="CL36" s="753"/>
      <c r="CM36" s="753"/>
      <c r="CN36" s="753"/>
      <c r="CO36" s="753"/>
      <c r="CP36" s="753"/>
      <c r="CQ36" s="753"/>
      <c r="CR36" s="753"/>
      <c r="CS36" s="753"/>
      <c r="CT36" s="753"/>
      <c r="CU36" s="753"/>
      <c r="CV36" s="753"/>
      <c r="CW36" s="753"/>
      <c r="CX36" s="753"/>
      <c r="CY36" s="753"/>
      <c r="CZ36" s="753"/>
      <c r="DA36" s="753"/>
      <c r="DB36" s="753"/>
      <c r="DC36" s="753"/>
      <c r="DD36" s="753"/>
      <c r="DE36" s="753"/>
      <c r="DF36" s="753"/>
      <c r="DG36" s="753"/>
      <c r="DH36" s="753"/>
      <c r="DI36" s="753"/>
      <c r="DJ36" s="753"/>
      <c r="DK36" s="753"/>
      <c r="DL36" s="753"/>
      <c r="DM36" s="753"/>
      <c r="DN36" s="753"/>
      <c r="DO36" s="753"/>
      <c r="DP36" s="753"/>
      <c r="DQ36" s="753"/>
      <c r="DR36" s="753"/>
      <c r="DS36" s="753"/>
      <c r="DT36" s="753"/>
      <c r="DU36" s="753"/>
      <c r="DV36" s="753"/>
      <c r="DW36" s="753"/>
      <c r="DX36" s="753"/>
      <c r="DY36" s="753"/>
      <c r="DZ36" s="753"/>
      <c r="EA36" s="753"/>
      <c r="EB36" s="753"/>
      <c r="EC36" s="753"/>
      <c r="ED36" s="753"/>
      <c r="EE36" s="753"/>
      <c r="EF36" s="753"/>
      <c r="EG36" s="753"/>
      <c r="EH36" s="753"/>
      <c r="EI36" s="753"/>
      <c r="EJ36" s="753"/>
      <c r="EK36" s="753"/>
      <c r="EL36" s="753"/>
      <c r="EM36" s="753"/>
      <c r="EN36" s="753"/>
      <c r="EO36" s="753"/>
      <c r="EP36" s="753"/>
      <c r="EQ36" s="753"/>
      <c r="ER36" s="753"/>
      <c r="ES36" s="753"/>
      <c r="ET36" s="753"/>
      <c r="EU36" s="753"/>
      <c r="EV36" s="753"/>
      <c r="EW36" s="753"/>
      <c r="EX36" s="753"/>
      <c r="EY36" s="753"/>
      <c r="EZ36" s="753"/>
      <c r="FA36" s="753"/>
      <c r="FB36" s="753"/>
      <c r="FC36" s="753"/>
      <c r="FD36" s="753"/>
      <c r="FE36" s="753"/>
      <c r="FF36" s="753"/>
      <c r="FG36" s="753"/>
      <c r="FH36" s="753"/>
      <c r="FI36" s="753"/>
      <c r="FJ36" s="753"/>
      <c r="FK36" s="753"/>
      <c r="FL36" s="753"/>
      <c r="FM36" s="753"/>
      <c r="FN36" s="753"/>
      <c r="FO36" s="753"/>
      <c r="FP36" s="753"/>
      <c r="FQ36" s="753"/>
      <c r="FR36" s="753"/>
      <c r="FS36" s="753"/>
      <c r="FT36" s="753"/>
      <c r="FU36" s="753"/>
      <c r="FV36" s="753"/>
      <c r="FW36" s="753"/>
      <c r="FX36" s="753"/>
      <c r="FY36" s="753"/>
      <c r="FZ36" s="753"/>
      <c r="GA36" s="753"/>
      <c r="GB36" s="753"/>
      <c r="GC36" s="753"/>
      <c r="GD36" s="753"/>
      <c r="GE36" s="753"/>
      <c r="GF36" s="753"/>
      <c r="GG36" s="753"/>
      <c r="GH36" s="753"/>
      <c r="GI36" s="753"/>
      <c r="GJ36" s="753"/>
      <c r="GK36" s="753"/>
      <c r="GL36" s="753"/>
      <c r="GM36" s="753"/>
      <c r="GN36" s="753"/>
      <c r="GO36" s="753"/>
      <c r="GP36" s="753"/>
      <c r="GQ36" s="753"/>
      <c r="GR36" s="753"/>
      <c r="GS36" s="753"/>
      <c r="GT36" s="753"/>
      <c r="GU36" s="753"/>
      <c r="GV36" s="753"/>
      <c r="GW36" s="753"/>
      <c r="GX36" s="753"/>
      <c r="GY36" s="753"/>
      <c r="GZ36" s="753"/>
      <c r="HA36" s="753"/>
      <c r="HB36" s="753"/>
      <c r="HC36" s="753"/>
      <c r="HD36" s="753"/>
      <c r="HE36" s="753"/>
      <c r="HF36" s="753"/>
      <c r="HG36" s="753"/>
      <c r="HH36" s="753"/>
      <c r="HI36" s="753"/>
      <c r="HJ36" s="753"/>
      <c r="HK36" s="753"/>
      <c r="HL36" s="753"/>
      <c r="HM36" s="753"/>
      <c r="HN36" s="753"/>
      <c r="HO36" s="753"/>
      <c r="HP36" s="753"/>
      <c r="HQ36" s="753"/>
      <c r="HR36" s="753"/>
      <c r="HS36" s="753"/>
      <c r="HT36" s="753"/>
      <c r="HU36" s="753"/>
      <c r="HV36" s="753"/>
      <c r="HW36" s="753"/>
      <c r="HX36" s="753"/>
      <c r="HY36" s="753"/>
      <c r="HZ36" s="753"/>
      <c r="IA36" s="753"/>
      <c r="IB36" s="753"/>
      <c r="IC36" s="753"/>
      <c r="ID36" s="753"/>
      <c r="IE36" s="753"/>
      <c r="IF36" s="753"/>
      <c r="IG36" s="753"/>
      <c r="IH36" s="753"/>
      <c r="II36" s="753"/>
      <c r="IJ36" s="753"/>
      <c r="IK36" s="753"/>
      <c r="IL36" s="753"/>
      <c r="IM36" s="753"/>
      <c r="IN36" s="753"/>
      <c r="IO36" s="753"/>
      <c r="IP36" s="753"/>
      <c r="IQ36" s="753"/>
      <c r="IR36" s="753"/>
      <c r="IS36" s="753"/>
    </row>
    <row r="37" spans="8:9" ht="16.5" customHeight="1">
      <c r="H37" s="1256"/>
      <c r="I37" s="1256"/>
    </row>
    <row r="38" spans="2:9" ht="12.75">
      <c r="B38" s="1256"/>
      <c r="C38" s="1256"/>
      <c r="D38" s="1256"/>
      <c r="E38" s="1256"/>
      <c r="F38" s="1256"/>
      <c r="H38" s="1256"/>
      <c r="I38" s="1256"/>
    </row>
    <row r="39" spans="8:9" ht="12.75">
      <c r="H39" s="1256"/>
      <c r="I39" s="1256"/>
    </row>
    <row r="40" spans="8:9" ht="12.75">
      <c r="H40" s="1256"/>
      <c r="I40" s="1256"/>
    </row>
    <row r="41" spans="8:9" ht="12.75">
      <c r="H41" s="1256"/>
      <c r="I41" s="1256"/>
    </row>
    <row r="42" spans="8:9" ht="12.75">
      <c r="H42" s="1256"/>
      <c r="I42" s="1256"/>
    </row>
    <row r="43" spans="8:9" ht="12.75">
      <c r="H43" s="1256"/>
      <c r="I43" s="1256"/>
    </row>
    <row r="44" spans="8:9" ht="12.75">
      <c r="H44" s="1256"/>
      <c r="I44" s="1256"/>
    </row>
    <row r="45" spans="8:9" ht="12.75">
      <c r="H45" s="1256"/>
      <c r="I45" s="1256"/>
    </row>
  </sheetData>
  <sheetProtection/>
  <mergeCells count="9">
    <mergeCell ref="E2:F2"/>
    <mergeCell ref="A36:F36"/>
    <mergeCell ref="A1:E1"/>
    <mergeCell ref="A2:A4"/>
    <mergeCell ref="B2:D2"/>
    <mergeCell ref="B3:B4"/>
    <mergeCell ref="C3:D3"/>
    <mergeCell ref="E3:E4"/>
    <mergeCell ref="F3:F4"/>
  </mergeCells>
  <printOptions/>
  <pageMargins left="0.7086614173228347" right="0.5118110236220472" top="0.5905511811023623" bottom="0.3937007874015748" header="0.31496062992125984" footer="0.31496062992125984"/>
  <pageSetup fitToHeight="0" fitToWidth="1" horizontalDpi="600" verticalDpi="600" orientation="portrait" paperSize="9" scale="97" r:id="rId1"/>
  <headerFooter>
    <oddFooter>&amp;LZávěrečný účet za rok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view="pageBreakPreview" zoomScale="115" zoomScaleSheetLayoutView="115" workbookViewId="0" topLeftCell="A1">
      <selection activeCell="A1" sqref="A1:D1"/>
    </sheetView>
  </sheetViews>
  <sheetFormatPr defaultColWidth="9.00390625" defaultRowHeight="12.75"/>
  <cols>
    <col min="1" max="1" width="39.00390625" style="4" customWidth="1"/>
    <col min="2" max="5" width="14.75390625" style="4" customWidth="1"/>
    <col min="6" max="16384" width="9.125" style="4" customWidth="1"/>
  </cols>
  <sheetData>
    <row r="1" spans="1:5" ht="68.25" customHeight="1">
      <c r="A1" s="1614" t="s">
        <v>753</v>
      </c>
      <c r="B1" s="1614"/>
      <c r="C1" s="1614"/>
      <c r="D1" s="1615"/>
      <c r="E1" s="19" t="s">
        <v>320</v>
      </c>
    </row>
    <row r="2" spans="1:5" ht="20.25" customHeight="1">
      <c r="A2" s="1616" t="s">
        <v>138</v>
      </c>
      <c r="B2" s="1619" t="s">
        <v>139</v>
      </c>
      <c r="C2" s="1620"/>
      <c r="D2" s="1620"/>
      <c r="E2" s="1621"/>
    </row>
    <row r="3" spans="1:5" ht="20.25" customHeight="1">
      <c r="A3" s="1617"/>
      <c r="B3" s="1622" t="s">
        <v>140</v>
      </c>
      <c r="C3" s="1623"/>
      <c r="D3" s="1623"/>
      <c r="E3" s="1624"/>
    </row>
    <row r="4" spans="1:5" ht="35.25" customHeight="1">
      <c r="A4" s="1618"/>
      <c r="B4" s="685" t="s">
        <v>27</v>
      </c>
      <c r="C4" s="686" t="s">
        <v>28</v>
      </c>
      <c r="D4" s="686" t="s">
        <v>29</v>
      </c>
      <c r="E4" s="687" t="s">
        <v>152</v>
      </c>
    </row>
    <row r="5" spans="1:5" ht="24.75" customHeight="1">
      <c r="A5" s="20" t="s">
        <v>141</v>
      </c>
      <c r="B5" s="21">
        <v>250</v>
      </c>
      <c r="C5" s="22">
        <v>100</v>
      </c>
      <c r="D5" s="22">
        <v>74.2112</v>
      </c>
      <c r="E5" s="328">
        <f>D5/C5</f>
        <v>0.7421120000000001</v>
      </c>
    </row>
    <row r="6" spans="1:5" ht="24.75" customHeight="1">
      <c r="A6" s="23">
        <v>501</v>
      </c>
      <c r="B6" s="24">
        <f>SUM(B5)</f>
        <v>250</v>
      </c>
      <c r="C6" s="25">
        <f>SUM(C5)</f>
        <v>100</v>
      </c>
      <c r="D6" s="25">
        <f>SUM(D5)</f>
        <v>74.2112</v>
      </c>
      <c r="E6" s="329">
        <f aca="true" t="shared" si="0" ref="E6:E14">D6/C6</f>
        <v>0.7421120000000001</v>
      </c>
    </row>
    <row r="7" spans="1:5" ht="24.75" customHeight="1">
      <c r="A7" s="30" t="s">
        <v>142</v>
      </c>
      <c r="B7" s="31">
        <v>12800</v>
      </c>
      <c r="C7" s="32">
        <v>15434</v>
      </c>
      <c r="D7" s="32">
        <v>15395.008</v>
      </c>
      <c r="E7" s="330">
        <f t="shared" si="0"/>
        <v>0.9974736296488272</v>
      </c>
    </row>
    <row r="8" spans="1:5" ht="24.75" customHeight="1">
      <c r="A8" s="33" t="s">
        <v>143</v>
      </c>
      <c r="B8" s="34">
        <v>1200</v>
      </c>
      <c r="C8" s="35">
        <v>920</v>
      </c>
      <c r="D8" s="35">
        <v>776.928</v>
      </c>
      <c r="E8" s="331">
        <f t="shared" si="0"/>
        <v>0.8444869565217391</v>
      </c>
    </row>
    <row r="9" spans="1:5" ht="24.75" customHeight="1">
      <c r="A9" s="23">
        <v>502</v>
      </c>
      <c r="B9" s="24">
        <f>SUM(B7:B8)</f>
        <v>14000</v>
      </c>
      <c r="C9" s="25">
        <f>SUM(C7:C8)</f>
        <v>16354</v>
      </c>
      <c r="D9" s="25">
        <f>SUM(D7:D8)</f>
        <v>16171.936</v>
      </c>
      <c r="E9" s="329">
        <f t="shared" si="0"/>
        <v>0.9888673107496637</v>
      </c>
    </row>
    <row r="10" spans="1:5" ht="24.75" customHeight="1">
      <c r="A10" s="30" t="s">
        <v>144</v>
      </c>
      <c r="B10" s="31">
        <v>3375</v>
      </c>
      <c r="C10" s="32">
        <v>2391</v>
      </c>
      <c r="D10" s="32">
        <v>2324.032</v>
      </c>
      <c r="E10" s="330">
        <f t="shared" si="0"/>
        <v>0.9719916352990381</v>
      </c>
    </row>
    <row r="11" spans="1:5" ht="24.75" customHeight="1">
      <c r="A11" s="36" t="s">
        <v>145</v>
      </c>
      <c r="B11" s="37">
        <v>1215</v>
      </c>
      <c r="C11" s="38">
        <v>1315</v>
      </c>
      <c r="D11" s="38">
        <v>1230.535</v>
      </c>
      <c r="E11" s="332">
        <f t="shared" si="0"/>
        <v>0.935768060836502</v>
      </c>
    </row>
    <row r="12" spans="1:5" ht="24.75" customHeight="1">
      <c r="A12" s="33" t="s">
        <v>146</v>
      </c>
      <c r="B12" s="34">
        <v>90</v>
      </c>
      <c r="C12" s="35">
        <v>90</v>
      </c>
      <c r="D12" s="35">
        <v>58.731</v>
      </c>
      <c r="E12" s="331">
        <f t="shared" si="0"/>
        <v>0.6525666666666667</v>
      </c>
    </row>
    <row r="13" spans="1:5" ht="24.75" customHeight="1" thickBot="1">
      <c r="A13" s="27">
        <v>503</v>
      </c>
      <c r="B13" s="28">
        <f>SUM(B10:B12)</f>
        <v>4680</v>
      </c>
      <c r="C13" s="29">
        <f>SUM(C10:C12)</f>
        <v>3796</v>
      </c>
      <c r="D13" s="29">
        <f>SUM(D10:D12)</f>
        <v>3613.2980000000002</v>
      </c>
      <c r="E13" s="333">
        <f t="shared" si="0"/>
        <v>0.9518698630136987</v>
      </c>
    </row>
    <row r="14" spans="1:5" ht="39.75" customHeight="1" thickTop="1">
      <c r="A14" s="688" t="s">
        <v>147</v>
      </c>
      <c r="B14" s="689">
        <f>SUM(B6,B9,B13)</f>
        <v>18930</v>
      </c>
      <c r="C14" s="690">
        <f>SUM(C6,C9,C13)</f>
        <v>20250</v>
      </c>
      <c r="D14" s="690">
        <f>SUM(D6,D9,D13)</f>
        <v>19859.4452</v>
      </c>
      <c r="E14" s="691">
        <f t="shared" si="0"/>
        <v>0.9807133432098765</v>
      </c>
    </row>
    <row r="15" spans="1:4" ht="20.25" customHeight="1">
      <c r="A15" s="26"/>
      <c r="B15" s="26"/>
      <c r="C15" s="26"/>
      <c r="D15" s="26"/>
    </row>
    <row r="16" ht="31.5" customHeight="1">
      <c r="A16" s="39"/>
    </row>
    <row r="18" ht="66" customHeight="1"/>
  </sheetData>
  <sheetProtection/>
  <mergeCells count="4">
    <mergeCell ref="A1:D1"/>
    <mergeCell ref="A2:A4"/>
    <mergeCell ref="B2:E2"/>
    <mergeCell ref="B3:E3"/>
  </mergeCells>
  <printOptions horizontalCentered="1"/>
  <pageMargins left="0.7874015748031497" right="0.5511811023622047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Footer>&amp;L&amp;8Závěrečný účet za rok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V2" sqref="A2:IV3"/>
    </sheetView>
  </sheetViews>
  <sheetFormatPr defaultColWidth="44.375" defaultRowHeight="12.75"/>
  <cols>
    <col min="1" max="1" width="21.00390625" style="288" customWidth="1"/>
    <col min="2" max="2" width="15.625" style="262" hidden="1" customWidth="1"/>
    <col min="3" max="9" width="15.75390625" style="262" hidden="1" customWidth="1"/>
    <col min="10" max="10" width="14.75390625" style="262" customWidth="1"/>
    <col min="11" max="11" width="13.25390625" style="262" customWidth="1"/>
    <col min="12" max="12" width="13.625" style="262" customWidth="1"/>
    <col min="13" max="13" width="14.375" style="262" customWidth="1"/>
    <col min="14" max="14" width="14.875" style="262" customWidth="1"/>
    <col min="15" max="15" width="14.375" style="262" customWidth="1"/>
    <col min="16" max="16" width="13.00390625" style="262" customWidth="1"/>
    <col min="17" max="17" width="15.00390625" style="262" customWidth="1"/>
    <col min="18" max="18" width="14.625" style="262" customWidth="1"/>
    <col min="19" max="19" width="14.875" style="262" customWidth="1"/>
    <col min="20" max="20" width="14.375" style="262" customWidth="1"/>
    <col min="21" max="21" width="15.00390625" style="262" customWidth="1"/>
    <col min="22" max="36" width="14.125" style="262" customWidth="1"/>
    <col min="37" max="16384" width="44.375" style="262" customWidth="1"/>
  </cols>
  <sheetData>
    <row r="1" spans="1:21" ht="69" customHeight="1">
      <c r="A1" s="1625" t="s">
        <v>754</v>
      </c>
      <c r="B1" s="1625"/>
      <c r="C1" s="1625"/>
      <c r="D1" s="1625"/>
      <c r="E1" s="1625"/>
      <c r="F1" s="1625"/>
      <c r="G1" s="1625"/>
      <c r="H1" s="1625"/>
      <c r="I1" s="1625"/>
      <c r="J1" s="1625"/>
      <c r="K1" s="1625"/>
      <c r="L1" s="1625"/>
      <c r="M1" s="1625"/>
      <c r="N1" s="1625"/>
      <c r="O1" s="1625"/>
      <c r="P1" s="1625"/>
      <c r="Q1" s="1625"/>
      <c r="R1" s="1625"/>
      <c r="S1" s="1625"/>
      <c r="T1" s="1625"/>
      <c r="U1" s="261" t="s">
        <v>259</v>
      </c>
    </row>
    <row r="2" spans="1:21" ht="29.25" customHeight="1">
      <c r="A2" s="1626" t="s">
        <v>260</v>
      </c>
      <c r="B2" s="1629">
        <v>2008</v>
      </c>
      <c r="C2" s="1629"/>
      <c r="D2" s="1629"/>
      <c r="E2" s="1629"/>
      <c r="F2" s="1629">
        <v>2009</v>
      </c>
      <c r="G2" s="1629"/>
      <c r="H2" s="1630"/>
      <c r="I2" s="1630"/>
      <c r="J2" s="1627">
        <v>2016</v>
      </c>
      <c r="K2" s="1627"/>
      <c r="L2" s="1628"/>
      <c r="M2" s="1628"/>
      <c r="N2" s="1627">
        <v>2017</v>
      </c>
      <c r="O2" s="1627"/>
      <c r="P2" s="1628"/>
      <c r="Q2" s="1628"/>
      <c r="R2" s="1627">
        <v>2018</v>
      </c>
      <c r="S2" s="1627"/>
      <c r="T2" s="1628"/>
      <c r="U2" s="1628"/>
    </row>
    <row r="3" spans="1:21" ht="29.25" customHeight="1">
      <c r="A3" s="1626"/>
      <c r="B3" s="1300" t="s">
        <v>261</v>
      </c>
      <c r="C3" s="1300" t="s">
        <v>262</v>
      </c>
      <c r="D3" s="1300" t="s">
        <v>263</v>
      </c>
      <c r="E3" s="1300" t="s">
        <v>264</v>
      </c>
      <c r="F3" s="1300" t="s">
        <v>261</v>
      </c>
      <c r="G3" s="1300" t="s">
        <v>262</v>
      </c>
      <c r="H3" s="1300" t="s">
        <v>263</v>
      </c>
      <c r="I3" s="1300" t="s">
        <v>264</v>
      </c>
      <c r="J3" s="1301" t="s">
        <v>261</v>
      </c>
      <c r="K3" s="1301" t="s">
        <v>262</v>
      </c>
      <c r="L3" s="1301" t="s">
        <v>263</v>
      </c>
      <c r="M3" s="1301" t="s">
        <v>264</v>
      </c>
      <c r="N3" s="1301" t="s">
        <v>261</v>
      </c>
      <c r="O3" s="1301" t="s">
        <v>262</v>
      </c>
      <c r="P3" s="1301" t="s">
        <v>263</v>
      </c>
      <c r="Q3" s="1301" t="s">
        <v>264</v>
      </c>
      <c r="R3" s="1301" t="s">
        <v>261</v>
      </c>
      <c r="S3" s="1301" t="s">
        <v>262</v>
      </c>
      <c r="T3" s="1301" t="s">
        <v>263</v>
      </c>
      <c r="U3" s="1301" t="s">
        <v>264</v>
      </c>
    </row>
    <row r="4" spans="1:21" ht="36.75" customHeight="1">
      <c r="A4" s="1097" t="s">
        <v>773</v>
      </c>
      <c r="B4" s="263">
        <v>27876437.37</v>
      </c>
      <c r="C4" s="264">
        <v>4536424.26</v>
      </c>
      <c r="D4" s="264">
        <v>0</v>
      </c>
      <c r="E4" s="264">
        <f>B4+C4-D4</f>
        <v>32412861.630000003</v>
      </c>
      <c r="F4" s="265">
        <f aca="true" t="shared" si="0" ref="F4:F13">E4</f>
        <v>32412861.630000003</v>
      </c>
      <c r="G4" s="266">
        <v>5318129.05</v>
      </c>
      <c r="H4" s="266">
        <v>206997.5</v>
      </c>
      <c r="I4" s="267">
        <f>F4+G4-H4</f>
        <v>37523993.18</v>
      </c>
      <c r="J4" s="265">
        <v>33921354.29</v>
      </c>
      <c r="K4" s="266">
        <v>2916517.42</v>
      </c>
      <c r="L4" s="266">
        <v>0</v>
      </c>
      <c r="M4" s="267">
        <f aca="true" t="shared" si="1" ref="M4:M13">J4+K4-L4</f>
        <v>36837871.71</v>
      </c>
      <c r="N4" s="265">
        <v>36837871.71</v>
      </c>
      <c r="O4" s="266">
        <v>873620</v>
      </c>
      <c r="P4" s="266">
        <v>0</v>
      </c>
      <c r="Q4" s="267">
        <f>SUM(N4+O4+-P4)</f>
        <v>37711491.71</v>
      </c>
      <c r="R4" s="267">
        <v>37711491.71</v>
      </c>
      <c r="S4" s="266">
        <v>954024.5</v>
      </c>
      <c r="T4" s="266">
        <v>0</v>
      </c>
      <c r="U4" s="1098">
        <f>SUM(R4:T4)</f>
        <v>38665516.21</v>
      </c>
    </row>
    <row r="5" spans="1:21" ht="24.75" customHeight="1">
      <c r="A5" s="1099" t="s">
        <v>265</v>
      </c>
      <c r="B5" s="263"/>
      <c r="C5" s="264"/>
      <c r="D5" s="264"/>
      <c r="E5" s="264"/>
      <c r="F5" s="265"/>
      <c r="G5" s="266"/>
      <c r="H5" s="266"/>
      <c r="I5" s="267"/>
      <c r="J5" s="265">
        <v>72600</v>
      </c>
      <c r="K5" s="266">
        <v>0</v>
      </c>
      <c r="L5" s="266">
        <v>0</v>
      </c>
      <c r="M5" s="267">
        <f t="shared" si="1"/>
        <v>72600</v>
      </c>
      <c r="N5" s="265">
        <v>72600</v>
      </c>
      <c r="O5" s="266">
        <v>0</v>
      </c>
      <c r="P5" s="266">
        <v>0</v>
      </c>
      <c r="Q5" s="267">
        <f aca="true" t="shared" si="2" ref="Q5:Q13">SUM(N5+O5-P5)</f>
        <v>72600</v>
      </c>
      <c r="R5" s="267">
        <v>72600</v>
      </c>
      <c r="S5" s="266">
        <v>0</v>
      </c>
      <c r="T5" s="266">
        <v>0</v>
      </c>
      <c r="U5" s="1098">
        <f>SUM(R5:T5)</f>
        <v>72600</v>
      </c>
    </row>
    <row r="6" spans="1:21" ht="39" customHeight="1">
      <c r="A6" s="1100" t="s">
        <v>772</v>
      </c>
      <c r="B6" s="263">
        <v>2838326.05</v>
      </c>
      <c r="C6" s="264">
        <v>625215.54</v>
      </c>
      <c r="D6" s="264">
        <v>540345</v>
      </c>
      <c r="E6" s="264">
        <f aca="true" t="shared" si="3" ref="E6:E13">B6+C6-D6</f>
        <v>2923196.59</v>
      </c>
      <c r="F6" s="268">
        <f t="shared" si="0"/>
        <v>2923196.59</v>
      </c>
      <c r="G6" s="269">
        <v>121018.24</v>
      </c>
      <c r="H6" s="269">
        <v>60566.24</v>
      </c>
      <c r="I6" s="270">
        <f aca="true" t="shared" si="4" ref="I6:I13">F6+G6-H6</f>
        <v>2983648.59</v>
      </c>
      <c r="J6" s="268">
        <v>938347.99</v>
      </c>
      <c r="K6" s="269">
        <v>1638239.78</v>
      </c>
      <c r="L6" s="269">
        <v>98010</v>
      </c>
      <c r="M6" s="270">
        <f t="shared" si="1"/>
        <v>2478577.77</v>
      </c>
      <c r="N6" s="268">
        <v>2478577.77</v>
      </c>
      <c r="O6" s="269">
        <v>49361</v>
      </c>
      <c r="P6" s="269">
        <v>0</v>
      </c>
      <c r="Q6" s="270">
        <f t="shared" si="2"/>
        <v>2527938.77</v>
      </c>
      <c r="R6" s="270">
        <v>2527938.77</v>
      </c>
      <c r="S6" s="269">
        <v>15588</v>
      </c>
      <c r="T6" s="269">
        <v>0</v>
      </c>
      <c r="U6" s="1101">
        <f>SUM(R6:T6)</f>
        <v>2543526.77</v>
      </c>
    </row>
    <row r="7" spans="1:21" ht="27" customHeight="1">
      <c r="A7" s="1100" t="s">
        <v>266</v>
      </c>
      <c r="B7" s="263">
        <v>2859442978.92</v>
      </c>
      <c r="C7" s="264">
        <v>279251345.8</v>
      </c>
      <c r="D7" s="264">
        <v>94788597.26</v>
      </c>
      <c r="E7" s="264">
        <f t="shared" si="3"/>
        <v>3043905727.46</v>
      </c>
      <c r="F7" s="268">
        <f t="shared" si="0"/>
        <v>3043905727.46</v>
      </c>
      <c r="G7" s="269">
        <v>195644386.38</v>
      </c>
      <c r="H7" s="269">
        <v>94608577.18</v>
      </c>
      <c r="I7" s="270">
        <f t="shared" si="4"/>
        <v>3144941536.6600003</v>
      </c>
      <c r="J7" s="268">
        <v>3367098853.29</v>
      </c>
      <c r="K7" s="269">
        <v>124284363.22</v>
      </c>
      <c r="L7" s="269">
        <v>11464837.3</v>
      </c>
      <c r="M7" s="270">
        <f t="shared" si="1"/>
        <v>3479918379.2099996</v>
      </c>
      <c r="N7" s="268">
        <v>3479918379.21</v>
      </c>
      <c r="O7" s="269">
        <v>281055103.62</v>
      </c>
      <c r="P7" s="269">
        <v>221967144</v>
      </c>
      <c r="Q7" s="270">
        <f t="shared" si="2"/>
        <v>3539006338.83</v>
      </c>
      <c r="R7" s="270">
        <v>3539006338.83</v>
      </c>
      <c r="S7" s="269">
        <v>834499239.04</v>
      </c>
      <c r="T7" s="269">
        <v>720342288.42</v>
      </c>
      <c r="U7" s="1101">
        <f aca="true" t="shared" si="5" ref="U7:U13">SUM(R7+S7-T7)</f>
        <v>3653163289.45</v>
      </c>
    </row>
    <row r="8" spans="1:21" ht="36.75" customHeight="1">
      <c r="A8" s="1100" t="s">
        <v>267</v>
      </c>
      <c r="B8" s="263"/>
      <c r="C8" s="264"/>
      <c r="D8" s="264"/>
      <c r="E8" s="264"/>
      <c r="F8" s="268"/>
      <c r="G8" s="269"/>
      <c r="H8" s="269"/>
      <c r="I8" s="270"/>
      <c r="J8" s="268">
        <v>315730303.79</v>
      </c>
      <c r="K8" s="269">
        <v>0</v>
      </c>
      <c r="L8" s="269">
        <v>10557502</v>
      </c>
      <c r="M8" s="270">
        <f t="shared" si="1"/>
        <v>305172801.79</v>
      </c>
      <c r="N8" s="268">
        <v>305172801.79</v>
      </c>
      <c r="O8" s="269">
        <v>230420132</v>
      </c>
      <c r="P8" s="269">
        <v>203974642</v>
      </c>
      <c r="Q8" s="270">
        <f t="shared" si="2"/>
        <v>331618291.79</v>
      </c>
      <c r="R8" s="270">
        <v>331618291.79</v>
      </c>
      <c r="S8" s="269">
        <v>684901320</v>
      </c>
      <c r="T8" s="269">
        <v>766152911</v>
      </c>
      <c r="U8" s="1101">
        <f t="shared" si="5"/>
        <v>250366700.78999996</v>
      </c>
    </row>
    <row r="9" spans="1:21" ht="36.75" customHeight="1">
      <c r="A9" s="1100" t="s">
        <v>771</v>
      </c>
      <c r="B9" s="263">
        <v>81839970.6</v>
      </c>
      <c r="C9" s="264">
        <v>2710840.36</v>
      </c>
      <c r="D9" s="264">
        <v>17180080.45</v>
      </c>
      <c r="E9" s="264">
        <f t="shared" si="3"/>
        <v>67370730.50999999</v>
      </c>
      <c r="F9" s="268">
        <f t="shared" si="0"/>
        <v>67370730.50999999</v>
      </c>
      <c r="G9" s="269">
        <v>5812226.63</v>
      </c>
      <c r="H9" s="269">
        <v>6384395.25</v>
      </c>
      <c r="I9" s="270">
        <f t="shared" si="4"/>
        <v>66798561.889999986</v>
      </c>
      <c r="J9" s="268">
        <v>100620762.1</v>
      </c>
      <c r="K9" s="269">
        <v>7723708.05</v>
      </c>
      <c r="L9" s="269">
        <v>3325273.61</v>
      </c>
      <c r="M9" s="270">
        <f t="shared" si="1"/>
        <v>105019196.53999999</v>
      </c>
      <c r="N9" s="268">
        <v>105019196.54</v>
      </c>
      <c r="O9" s="269">
        <v>13115422.42</v>
      </c>
      <c r="P9" s="269">
        <v>5716894.59</v>
      </c>
      <c r="Q9" s="270">
        <f t="shared" si="2"/>
        <v>112417724.37</v>
      </c>
      <c r="R9" s="270">
        <v>112417724.37</v>
      </c>
      <c r="S9" s="269">
        <v>14081166.22</v>
      </c>
      <c r="T9" s="269">
        <v>2823691.4</v>
      </c>
      <c r="U9" s="1101">
        <f t="shared" si="5"/>
        <v>123675199.19</v>
      </c>
    </row>
    <row r="10" spans="1:21" ht="36.75" customHeight="1">
      <c r="A10" s="1100" t="s">
        <v>770</v>
      </c>
      <c r="B10" s="263">
        <v>53598748.28</v>
      </c>
      <c r="C10" s="264">
        <v>7503010.87</v>
      </c>
      <c r="D10" s="264">
        <v>8410229.68</v>
      </c>
      <c r="E10" s="264">
        <f t="shared" si="3"/>
        <v>52691529.47</v>
      </c>
      <c r="F10" s="268">
        <f t="shared" si="0"/>
        <v>52691529.47</v>
      </c>
      <c r="G10" s="269">
        <v>4712461.18</v>
      </c>
      <c r="H10" s="269">
        <v>9403770.04</v>
      </c>
      <c r="I10" s="270">
        <f t="shared" si="4"/>
        <v>48000220.61</v>
      </c>
      <c r="J10" s="268">
        <v>51114174.66</v>
      </c>
      <c r="K10" s="269">
        <v>3245126.2</v>
      </c>
      <c r="L10" s="269">
        <v>1828889.38</v>
      </c>
      <c r="M10" s="270">
        <f t="shared" si="1"/>
        <v>52530411.48</v>
      </c>
      <c r="N10" s="268">
        <v>52530411.48</v>
      </c>
      <c r="O10" s="269">
        <v>3336231.65</v>
      </c>
      <c r="P10" s="269">
        <v>5180214.8</v>
      </c>
      <c r="Q10" s="270">
        <f t="shared" si="2"/>
        <v>50686428.33</v>
      </c>
      <c r="R10" s="270">
        <v>50686428.33</v>
      </c>
      <c r="S10" s="269">
        <v>6144245.16</v>
      </c>
      <c r="T10" s="269">
        <v>376112.19</v>
      </c>
      <c r="U10" s="1101">
        <f t="shared" si="5"/>
        <v>56454561.3</v>
      </c>
    </row>
    <row r="11" spans="1:21" ht="24.75" customHeight="1">
      <c r="A11" s="1100" t="s">
        <v>268</v>
      </c>
      <c r="B11" s="263">
        <v>2164690339.75</v>
      </c>
      <c r="C11" s="264">
        <v>70448435</v>
      </c>
      <c r="D11" s="264">
        <v>62486055</v>
      </c>
      <c r="E11" s="264">
        <f t="shared" si="3"/>
        <v>2172652719.75</v>
      </c>
      <c r="F11" s="268">
        <f t="shared" si="0"/>
        <v>2172652719.75</v>
      </c>
      <c r="G11" s="269">
        <v>7116178.75</v>
      </c>
      <c r="H11" s="269">
        <v>39630961</v>
      </c>
      <c r="I11" s="270">
        <f t="shared" si="4"/>
        <v>2140137937.5</v>
      </c>
      <c r="J11" s="268">
        <v>1961692434.67</v>
      </c>
      <c r="K11" s="269">
        <v>16560843.29</v>
      </c>
      <c r="L11" s="269">
        <v>11847813.29</v>
      </c>
      <c r="M11" s="270">
        <f t="shared" si="1"/>
        <v>1966405464.67</v>
      </c>
      <c r="N11" s="268">
        <v>1966405464.67</v>
      </c>
      <c r="O11" s="269">
        <v>179357721</v>
      </c>
      <c r="P11" s="269">
        <v>132081630</v>
      </c>
      <c r="Q11" s="270">
        <f t="shared" si="2"/>
        <v>2013681555.67</v>
      </c>
      <c r="R11" s="270">
        <v>2013681555.67</v>
      </c>
      <c r="S11" s="269">
        <v>207385987.96</v>
      </c>
      <c r="T11" s="269">
        <v>175218550</v>
      </c>
      <c r="U11" s="1101">
        <f t="shared" si="5"/>
        <v>2045848993.63</v>
      </c>
    </row>
    <row r="12" spans="1:21" ht="36.75" customHeight="1">
      <c r="A12" s="1102" t="s">
        <v>774</v>
      </c>
      <c r="B12" s="263"/>
      <c r="C12" s="264"/>
      <c r="D12" s="264"/>
      <c r="E12" s="264"/>
      <c r="F12" s="271"/>
      <c r="G12" s="272"/>
      <c r="H12" s="272"/>
      <c r="I12" s="273"/>
      <c r="J12" s="271">
        <v>133608550</v>
      </c>
      <c r="K12" s="272">
        <v>11764760</v>
      </c>
      <c r="L12" s="272">
        <v>16143646</v>
      </c>
      <c r="M12" s="273">
        <f t="shared" si="1"/>
        <v>129229664</v>
      </c>
      <c r="N12" s="271">
        <v>129229664</v>
      </c>
      <c r="O12" s="272">
        <v>114224827.5</v>
      </c>
      <c r="P12" s="272">
        <v>117102707.5</v>
      </c>
      <c r="Q12" s="273">
        <f t="shared" si="2"/>
        <v>126351784</v>
      </c>
      <c r="R12" s="273">
        <v>126351784</v>
      </c>
      <c r="S12" s="272">
        <v>171276189</v>
      </c>
      <c r="T12" s="272">
        <v>129124332</v>
      </c>
      <c r="U12" s="1103">
        <f t="shared" si="5"/>
        <v>168503641</v>
      </c>
    </row>
    <row r="13" spans="1:21" ht="23.25" customHeight="1" thickBot="1">
      <c r="A13" s="1104" t="s">
        <v>269</v>
      </c>
      <c r="B13" s="263">
        <v>1166589</v>
      </c>
      <c r="C13" s="264">
        <v>118960</v>
      </c>
      <c r="D13" s="264">
        <v>99960</v>
      </c>
      <c r="E13" s="264">
        <f t="shared" si="3"/>
        <v>1185589</v>
      </c>
      <c r="F13" s="274">
        <f t="shared" si="0"/>
        <v>1185589</v>
      </c>
      <c r="G13" s="275">
        <v>30000</v>
      </c>
      <c r="H13" s="275">
        <v>0</v>
      </c>
      <c r="I13" s="276">
        <f t="shared" si="4"/>
        <v>1215589</v>
      </c>
      <c r="J13" s="274">
        <v>1664515</v>
      </c>
      <c r="K13" s="275">
        <v>0</v>
      </c>
      <c r="L13" s="275">
        <v>0</v>
      </c>
      <c r="M13" s="276">
        <f t="shared" si="1"/>
        <v>1664515</v>
      </c>
      <c r="N13" s="274">
        <v>1664515</v>
      </c>
      <c r="O13" s="275">
        <v>98925</v>
      </c>
      <c r="P13" s="275">
        <v>2</v>
      </c>
      <c r="Q13" s="276">
        <f t="shared" si="2"/>
        <v>1763438</v>
      </c>
      <c r="R13" s="276">
        <v>1763438</v>
      </c>
      <c r="S13" s="275">
        <v>182000</v>
      </c>
      <c r="T13" s="275">
        <v>0</v>
      </c>
      <c r="U13" s="1105">
        <f t="shared" si="5"/>
        <v>1945438</v>
      </c>
    </row>
    <row r="14" spans="1:21" s="281" customFormat="1" ht="33" customHeight="1" thickBot="1" thickTop="1">
      <c r="A14" s="1106" t="s">
        <v>62</v>
      </c>
      <c r="B14" s="277">
        <f aca="true" t="shared" si="6" ref="B14:I14">SUM(B4:B13)</f>
        <v>5191453389.97</v>
      </c>
      <c r="C14" s="278">
        <f t="shared" si="6"/>
        <v>365194231.83000004</v>
      </c>
      <c r="D14" s="278">
        <f t="shared" si="6"/>
        <v>183505267.39000002</v>
      </c>
      <c r="E14" s="278">
        <f t="shared" si="6"/>
        <v>5373142354.41</v>
      </c>
      <c r="F14" s="279">
        <f t="shared" si="6"/>
        <v>5373142354.41</v>
      </c>
      <c r="G14" s="279">
        <f t="shared" si="6"/>
        <v>218754400.23</v>
      </c>
      <c r="H14" s="279">
        <f t="shared" si="6"/>
        <v>150295267.21</v>
      </c>
      <c r="I14" s="279">
        <f t="shared" si="6"/>
        <v>5441601487.43</v>
      </c>
      <c r="J14" s="280">
        <f aca="true" t="shared" si="7" ref="J14:Q14">SUM(J4:J13)</f>
        <v>5966461895.79</v>
      </c>
      <c r="K14" s="280">
        <f t="shared" si="7"/>
        <v>168133557.95999998</v>
      </c>
      <c r="L14" s="280">
        <f t="shared" si="7"/>
        <v>55265971.58</v>
      </c>
      <c r="M14" s="280">
        <f t="shared" si="7"/>
        <v>6079329482.17</v>
      </c>
      <c r="N14" s="280">
        <f t="shared" si="7"/>
        <v>6079329482.17</v>
      </c>
      <c r="O14" s="280">
        <f t="shared" si="7"/>
        <v>822531344.19</v>
      </c>
      <c r="P14" s="280">
        <f t="shared" si="7"/>
        <v>686023234.89</v>
      </c>
      <c r="Q14" s="280">
        <f t="shared" si="7"/>
        <v>6215837591.469999</v>
      </c>
      <c r="R14" s="280">
        <f>SUM(R4:R13)</f>
        <v>6215837591.469999</v>
      </c>
      <c r="S14" s="280">
        <f>SUM(S4:S13)</f>
        <v>1919439759.88</v>
      </c>
      <c r="T14" s="280">
        <f>SUM(T4:T13)</f>
        <v>1794037885.0100002</v>
      </c>
      <c r="U14" s="1107">
        <f>SUM(U4:U13)</f>
        <v>6341239466.34</v>
      </c>
    </row>
    <row r="15" spans="1:21" ht="39.75" customHeight="1">
      <c r="A15" s="1108" t="s">
        <v>270</v>
      </c>
      <c r="B15" s="263">
        <v>166040160.69</v>
      </c>
      <c r="C15" s="264">
        <v>180313291.29</v>
      </c>
      <c r="D15" s="264">
        <v>227616904.77</v>
      </c>
      <c r="E15" s="264">
        <f>B15+C15-D15</f>
        <v>118736547.21000001</v>
      </c>
      <c r="F15" s="265">
        <v>118736547.21</v>
      </c>
      <c r="G15" s="266">
        <v>157906127.97</v>
      </c>
      <c r="H15" s="266">
        <v>163672953.04</v>
      </c>
      <c r="I15" s="267">
        <f>F15+G15-H15</f>
        <v>112969722.14000002</v>
      </c>
      <c r="J15" s="265">
        <v>92944660.32</v>
      </c>
      <c r="K15" s="266">
        <v>120096716.97</v>
      </c>
      <c r="L15" s="266">
        <v>120076446.48</v>
      </c>
      <c r="M15" s="267">
        <f>J15+K15-L15</f>
        <v>92964930.80999999</v>
      </c>
      <c r="N15" s="265">
        <v>92964930.81</v>
      </c>
      <c r="O15" s="266">
        <v>248436092.88</v>
      </c>
      <c r="P15" s="266">
        <v>175934889.52</v>
      </c>
      <c r="Q15" s="267">
        <f>SUM(N15+O15-P15)</f>
        <v>165466134.17</v>
      </c>
      <c r="R15" s="267">
        <v>165466134.17</v>
      </c>
      <c r="S15" s="266">
        <v>329630205.82</v>
      </c>
      <c r="T15" s="266">
        <v>250465477.76</v>
      </c>
      <c r="U15" s="1098">
        <f>SUM(R15+S15-T15)</f>
        <v>244630862.23000002</v>
      </c>
    </row>
    <row r="16" spans="1:21" ht="39" customHeight="1">
      <c r="A16" s="1109" t="s">
        <v>271</v>
      </c>
      <c r="B16" s="263">
        <v>1597149.38</v>
      </c>
      <c r="C16" s="264">
        <v>3564490.42</v>
      </c>
      <c r="D16" s="264">
        <v>5161639.8</v>
      </c>
      <c r="E16" s="264">
        <f>B16+C16-D16</f>
        <v>0</v>
      </c>
      <c r="F16" s="268">
        <v>0</v>
      </c>
      <c r="G16" s="269">
        <v>5917104.84</v>
      </c>
      <c r="H16" s="269">
        <v>5567601.84</v>
      </c>
      <c r="I16" s="270">
        <f>F16+G16-H16</f>
        <v>349503</v>
      </c>
      <c r="J16" s="265">
        <v>1052530</v>
      </c>
      <c r="K16" s="269">
        <v>2916517.42</v>
      </c>
      <c r="L16" s="269">
        <v>2916517.42</v>
      </c>
      <c r="M16" s="270">
        <f>J16+K16-L16</f>
        <v>1052530</v>
      </c>
      <c r="N16" s="265">
        <v>1052530</v>
      </c>
      <c r="O16" s="269">
        <v>873620</v>
      </c>
      <c r="P16" s="269">
        <v>873620</v>
      </c>
      <c r="Q16" s="270">
        <f>SUM(N16+O16-P16)</f>
        <v>1052530</v>
      </c>
      <c r="R16" s="270">
        <v>1052530</v>
      </c>
      <c r="S16" s="269">
        <v>0</v>
      </c>
      <c r="T16" s="269">
        <v>0</v>
      </c>
      <c r="U16" s="1101">
        <f>SUM(R16+S16-T16)</f>
        <v>1052530</v>
      </c>
    </row>
    <row r="17" spans="1:21" ht="27" customHeight="1">
      <c r="A17" s="1109" t="s">
        <v>272</v>
      </c>
      <c r="B17" s="263">
        <v>0</v>
      </c>
      <c r="C17" s="264">
        <v>15288000</v>
      </c>
      <c r="D17" s="264">
        <v>288000</v>
      </c>
      <c r="E17" s="264">
        <f>B17+C17-D17</f>
        <v>15000000</v>
      </c>
      <c r="F17" s="271">
        <v>15000000</v>
      </c>
      <c r="G17" s="272">
        <v>0</v>
      </c>
      <c r="H17" s="272">
        <v>15000000</v>
      </c>
      <c r="I17" s="273">
        <f>F17+G17-H17</f>
        <v>0</v>
      </c>
      <c r="J17" s="265">
        <v>2090278.72</v>
      </c>
      <c r="K17" s="272">
        <v>372400</v>
      </c>
      <c r="L17" s="272">
        <v>0</v>
      </c>
      <c r="M17" s="270">
        <f>J17+K17-L17</f>
        <v>2462678.7199999997</v>
      </c>
      <c r="N17" s="265">
        <v>2462678.72</v>
      </c>
      <c r="O17" s="272">
        <v>1859746.6</v>
      </c>
      <c r="P17" s="272">
        <v>2728008.32</v>
      </c>
      <c r="Q17" s="270">
        <f>SUM(N17+O17-P17)</f>
        <v>1594417.0000000005</v>
      </c>
      <c r="R17" s="270">
        <v>1594417</v>
      </c>
      <c r="S17" s="272">
        <v>4050978</v>
      </c>
      <c r="T17" s="272">
        <v>2320417</v>
      </c>
      <c r="U17" s="1101">
        <f>SUM(R17+S17-T17)</f>
        <v>3324978</v>
      </c>
    </row>
    <row r="18" spans="1:21" ht="58.5" customHeight="1">
      <c r="A18" s="1110" t="s">
        <v>273</v>
      </c>
      <c r="B18" s="282"/>
      <c r="C18" s="282"/>
      <c r="D18" s="282"/>
      <c r="E18" s="282"/>
      <c r="F18" s="283">
        <v>0</v>
      </c>
      <c r="G18" s="284">
        <v>0</v>
      </c>
      <c r="H18" s="284">
        <v>0</v>
      </c>
      <c r="I18" s="285">
        <v>0</v>
      </c>
      <c r="J18" s="265">
        <v>500000</v>
      </c>
      <c r="K18" s="284">
        <v>340326</v>
      </c>
      <c r="L18" s="284">
        <v>0</v>
      </c>
      <c r="M18" s="285">
        <f>J18+K18-L18</f>
        <v>840326</v>
      </c>
      <c r="N18" s="265">
        <v>840326</v>
      </c>
      <c r="O18" s="284">
        <v>0</v>
      </c>
      <c r="P18" s="284">
        <v>840326</v>
      </c>
      <c r="Q18" s="285">
        <f>SUM(N18+O18-P18)</f>
        <v>0</v>
      </c>
      <c r="R18" s="285">
        <v>840326</v>
      </c>
      <c r="S18" s="284">
        <v>0</v>
      </c>
      <c r="T18" s="284">
        <v>840326</v>
      </c>
      <c r="U18" s="1111">
        <f>SUM(R18+S18-T18)</f>
        <v>0</v>
      </c>
    </row>
    <row r="19" spans="1:21" ht="33.75" customHeight="1" thickBot="1">
      <c r="A19" s="1110" t="s">
        <v>274</v>
      </c>
      <c r="B19" s="282"/>
      <c r="C19" s="282"/>
      <c r="D19" s="282"/>
      <c r="E19" s="282"/>
      <c r="F19" s="283">
        <v>0</v>
      </c>
      <c r="G19" s="284">
        <v>0</v>
      </c>
      <c r="H19" s="284">
        <v>0</v>
      </c>
      <c r="I19" s="285">
        <v>0</v>
      </c>
      <c r="J19" s="265">
        <v>8106421.66</v>
      </c>
      <c r="K19" s="284">
        <v>6017222.11</v>
      </c>
      <c r="L19" s="284">
        <v>416872.33</v>
      </c>
      <c r="M19" s="285">
        <f>J19+K19-L19</f>
        <v>13706771.44</v>
      </c>
      <c r="N19" s="265">
        <v>13706771.44</v>
      </c>
      <c r="O19" s="284">
        <v>6159195.34</v>
      </c>
      <c r="P19" s="284">
        <v>546821.22</v>
      </c>
      <c r="Q19" s="285">
        <f>SUM(N19+O19-P19)</f>
        <v>19319145.560000002</v>
      </c>
      <c r="R19" s="285">
        <v>19319145.56</v>
      </c>
      <c r="S19" s="284">
        <v>6069405.45</v>
      </c>
      <c r="T19" s="284">
        <v>324734.89</v>
      </c>
      <c r="U19" s="1111">
        <f>SUM(R19+S19-T19)</f>
        <v>25063816.119999997</v>
      </c>
    </row>
    <row r="20" spans="1:21" ht="39" customHeight="1" thickBot="1" thickTop="1">
      <c r="A20" s="1112" t="s">
        <v>62</v>
      </c>
      <c r="B20" s="1113">
        <f>SUM(B14:B17)</f>
        <v>5359090700.04</v>
      </c>
      <c r="C20" s="1114">
        <f>SUM(C14:C17)</f>
        <v>564360013.54</v>
      </c>
      <c r="D20" s="1114">
        <f>SUM(D14:D17)</f>
        <v>416571811.96000004</v>
      </c>
      <c r="E20" s="1114">
        <f>SUM(E14:E17)</f>
        <v>5506878901.62</v>
      </c>
      <c r="F20" s="1115">
        <f aca="true" t="shared" si="8" ref="F20:M20">SUM(F14:F19)</f>
        <v>5506878901.62</v>
      </c>
      <c r="G20" s="1115">
        <f t="shared" si="8"/>
        <v>382577633.03999996</v>
      </c>
      <c r="H20" s="1115">
        <f t="shared" si="8"/>
        <v>334535822.09</v>
      </c>
      <c r="I20" s="1115">
        <f t="shared" si="8"/>
        <v>5554920712.570001</v>
      </c>
      <c r="J20" s="1116">
        <f t="shared" si="8"/>
        <v>6071155786.49</v>
      </c>
      <c r="K20" s="1117">
        <f t="shared" si="8"/>
        <v>297876740.46</v>
      </c>
      <c r="L20" s="1117">
        <f t="shared" si="8"/>
        <v>178675807.81</v>
      </c>
      <c r="M20" s="1118">
        <f t="shared" si="8"/>
        <v>6190356719.14</v>
      </c>
      <c r="N20" s="1116">
        <f aca="true" t="shared" si="9" ref="N20:U20">SUM(N14:N19)</f>
        <v>6190356719.14</v>
      </c>
      <c r="O20" s="1117">
        <f t="shared" si="9"/>
        <v>1079859999.01</v>
      </c>
      <c r="P20" s="1117">
        <f t="shared" si="9"/>
        <v>866946899.95</v>
      </c>
      <c r="Q20" s="1118">
        <f t="shared" si="9"/>
        <v>6403269818.2</v>
      </c>
      <c r="R20" s="1118">
        <f t="shared" si="9"/>
        <v>6404110144.2</v>
      </c>
      <c r="S20" s="1117">
        <f t="shared" si="9"/>
        <v>2259190349.15</v>
      </c>
      <c r="T20" s="1117">
        <f t="shared" si="9"/>
        <v>2047988840.6600003</v>
      </c>
      <c r="U20" s="1119">
        <f t="shared" si="9"/>
        <v>6615311652.69</v>
      </c>
    </row>
    <row r="21" spans="1:17" ht="19.5" customHeight="1">
      <c r="A21" s="1095"/>
      <c r="B21" s="1096"/>
      <c r="C21" s="1096"/>
      <c r="D21" s="1096"/>
      <c r="E21" s="1096"/>
      <c r="F21" s="1096"/>
      <c r="G21" s="1096"/>
      <c r="H21" s="1096"/>
      <c r="I21" s="1096"/>
      <c r="Q21" s="351"/>
    </row>
    <row r="22" spans="1:18" ht="20.25" customHeight="1">
      <c r="A22" s="345"/>
      <c r="B22" s="345"/>
      <c r="C22" s="345"/>
      <c r="D22" s="345"/>
      <c r="E22" s="345"/>
      <c r="F22" s="345"/>
      <c r="G22" s="345"/>
      <c r="H22" s="345"/>
      <c r="I22" s="345"/>
      <c r="Q22" s="351"/>
      <c r="R22" s="351"/>
    </row>
    <row r="23" spans="1:9" ht="24.75" customHeight="1">
      <c r="A23" s="345"/>
      <c r="B23" s="345"/>
      <c r="C23" s="345"/>
      <c r="D23" s="345"/>
      <c r="E23" s="345"/>
      <c r="F23" s="345"/>
      <c r="G23" s="345"/>
      <c r="H23" s="345"/>
      <c r="I23" s="345"/>
    </row>
    <row r="24" spans="1:9" ht="24.75" customHeight="1">
      <c r="A24" s="286"/>
      <c r="B24" s="346"/>
      <c r="C24" s="346"/>
      <c r="D24" s="346"/>
      <c r="E24" s="346"/>
      <c r="F24" s="346"/>
      <c r="G24" s="346"/>
      <c r="H24" s="346"/>
      <c r="I24" s="346"/>
    </row>
    <row r="25" spans="1:9" ht="24.75" customHeight="1">
      <c r="A25" s="286"/>
      <c r="B25" s="287"/>
      <c r="C25" s="287"/>
      <c r="D25" s="287"/>
      <c r="E25" s="287"/>
      <c r="F25" s="287"/>
      <c r="G25" s="287"/>
      <c r="H25" s="287"/>
      <c r="I25" s="287"/>
    </row>
    <row r="26" spans="1:9" ht="24.75" customHeight="1">
      <c r="A26" s="286"/>
      <c r="B26" s="287"/>
      <c r="C26" s="287"/>
      <c r="D26" s="287"/>
      <c r="E26" s="287"/>
      <c r="F26" s="287"/>
      <c r="G26" s="287"/>
      <c r="H26" s="287"/>
      <c r="I26" s="287"/>
    </row>
    <row r="27" spans="1:9" ht="24.75" customHeight="1">
      <c r="A27" s="286"/>
      <c r="B27" s="287"/>
      <c r="C27" s="287"/>
      <c r="D27" s="287"/>
      <c r="E27" s="287"/>
      <c r="F27" s="287"/>
      <c r="G27" s="287"/>
      <c r="H27" s="287"/>
      <c r="I27" s="287"/>
    </row>
    <row r="28" spans="1:9" ht="24.75" customHeight="1">
      <c r="A28" s="286"/>
      <c r="B28" s="287"/>
      <c r="C28" s="287"/>
      <c r="D28" s="287"/>
      <c r="E28" s="287"/>
      <c r="F28" s="287"/>
      <c r="G28" s="287"/>
      <c r="H28" s="287"/>
      <c r="I28" s="287"/>
    </row>
    <row r="29" spans="1:9" ht="24.75" customHeight="1">
      <c r="A29" s="286"/>
      <c r="B29" s="287"/>
      <c r="C29" s="287"/>
      <c r="D29" s="287"/>
      <c r="E29" s="287"/>
      <c r="F29" s="287"/>
      <c r="G29" s="287"/>
      <c r="H29" s="287"/>
      <c r="I29" s="287"/>
    </row>
    <row r="30" spans="1:9" ht="24.75" customHeight="1">
      <c r="A30" s="286"/>
      <c r="B30" s="287"/>
      <c r="C30" s="287"/>
      <c r="D30" s="287"/>
      <c r="E30" s="287"/>
      <c r="F30" s="287"/>
      <c r="G30" s="287"/>
      <c r="H30" s="287"/>
      <c r="I30" s="287"/>
    </row>
    <row r="31" spans="1:9" ht="24.75" customHeight="1">
      <c r="A31" s="286"/>
      <c r="B31" s="287"/>
      <c r="C31" s="287"/>
      <c r="D31" s="287"/>
      <c r="E31" s="287"/>
      <c r="F31" s="287"/>
      <c r="G31" s="287"/>
      <c r="H31" s="287"/>
      <c r="I31" s="287"/>
    </row>
    <row r="32" spans="1:9" ht="24.75" customHeight="1">
      <c r="A32" s="286"/>
      <c r="B32" s="287"/>
      <c r="C32" s="287"/>
      <c r="D32" s="287"/>
      <c r="E32" s="287"/>
      <c r="F32" s="287"/>
      <c r="G32" s="287"/>
      <c r="H32" s="287"/>
      <c r="I32" s="287"/>
    </row>
    <row r="33" spans="1:9" ht="24.75" customHeight="1">
      <c r="A33" s="286"/>
      <c r="B33" s="287"/>
      <c r="C33" s="287"/>
      <c r="D33" s="287"/>
      <c r="E33" s="287"/>
      <c r="F33" s="287"/>
      <c r="G33" s="287"/>
      <c r="H33" s="287"/>
      <c r="I33" s="287"/>
    </row>
    <row r="34" spans="1:9" ht="24.75" customHeight="1">
      <c r="A34" s="286"/>
      <c r="B34" s="287"/>
      <c r="C34" s="287"/>
      <c r="D34" s="287"/>
      <c r="E34" s="287"/>
      <c r="F34" s="287"/>
      <c r="G34" s="287"/>
      <c r="H34" s="287"/>
      <c r="I34" s="287"/>
    </row>
  </sheetData>
  <sheetProtection/>
  <mergeCells count="7">
    <mergeCell ref="A1:T1"/>
    <mergeCell ref="A2:A3"/>
    <mergeCell ref="R2:U2"/>
    <mergeCell ref="J2:M2"/>
    <mergeCell ref="N2:Q2"/>
    <mergeCell ref="B2:E2"/>
    <mergeCell ref="F2:I2"/>
  </mergeCells>
  <printOptions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3" r:id="rId1"/>
  <headerFooter>
    <oddFooter>&amp;LZávěrečný účet za rok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50" zoomScaleSheetLayoutView="50" zoomScalePageLayoutView="55" workbookViewId="0" topLeftCell="A1">
      <selection activeCell="A1" sqref="A1:L1"/>
    </sheetView>
  </sheetViews>
  <sheetFormatPr defaultColWidth="44.375" defaultRowHeight="12.75"/>
  <cols>
    <col min="1" max="1" width="38.375" style="1336" customWidth="1"/>
    <col min="2" max="2" width="30.375" style="1306" customWidth="1"/>
    <col min="3" max="3" width="28.125" style="1306" customWidth="1"/>
    <col min="4" max="4" width="25.625" style="1306" customWidth="1"/>
    <col min="5" max="5" width="30.00390625" style="1306" customWidth="1"/>
    <col min="6" max="6" width="30.75390625" style="1306" customWidth="1"/>
    <col min="7" max="7" width="31.625" style="1306" customWidth="1"/>
    <col min="8" max="8" width="26.625" style="1306" customWidth="1"/>
    <col min="9" max="9" width="31.75390625" style="1306" customWidth="1"/>
    <col min="10" max="10" width="30.75390625" style="1306" customWidth="1"/>
    <col min="11" max="11" width="28.625" style="1306" customWidth="1"/>
    <col min="12" max="12" width="30.125" style="1306" customWidth="1"/>
    <col min="13" max="13" width="34.125" style="1306" customWidth="1"/>
    <col min="14" max="16384" width="44.375" style="1306" customWidth="1"/>
  </cols>
  <sheetData>
    <row r="1" spans="1:13" ht="147.75" customHeight="1">
      <c r="A1" s="1636" t="s">
        <v>569</v>
      </c>
      <c r="B1" s="1637"/>
      <c r="C1" s="1637"/>
      <c r="D1" s="1637"/>
      <c r="E1" s="1637"/>
      <c r="F1" s="1637"/>
      <c r="G1" s="1637"/>
      <c r="H1" s="1637"/>
      <c r="I1" s="1637"/>
      <c r="J1" s="1637"/>
      <c r="K1" s="1637"/>
      <c r="L1" s="1637"/>
      <c r="M1" s="1305" t="s">
        <v>275</v>
      </c>
    </row>
    <row r="2" spans="1:13" s="1307" customFormat="1" ht="78" customHeight="1">
      <c r="A2" s="1638" t="s">
        <v>776</v>
      </c>
      <c r="B2" s="1634">
        <v>2016</v>
      </c>
      <c r="C2" s="1634"/>
      <c r="D2" s="1635"/>
      <c r="E2" s="1635"/>
      <c r="F2" s="1634">
        <v>2017</v>
      </c>
      <c r="G2" s="1634"/>
      <c r="H2" s="1635"/>
      <c r="I2" s="1635"/>
      <c r="J2" s="1634">
        <v>2018</v>
      </c>
      <c r="K2" s="1635"/>
      <c r="L2" s="1635"/>
      <c r="M2" s="1635"/>
    </row>
    <row r="3" spans="1:13" s="1307" customFormat="1" ht="58.5" customHeight="1">
      <c r="A3" s="1638"/>
      <c r="B3" s="1308" t="s">
        <v>261</v>
      </c>
      <c r="C3" s="1308" t="s">
        <v>262</v>
      </c>
      <c r="D3" s="1308" t="s">
        <v>263</v>
      </c>
      <c r="E3" s="1308" t="s">
        <v>264</v>
      </c>
      <c r="F3" s="1308" t="s">
        <v>261</v>
      </c>
      <c r="G3" s="1308" t="s">
        <v>262</v>
      </c>
      <c r="H3" s="1308" t="s">
        <v>263</v>
      </c>
      <c r="I3" s="1308" t="s">
        <v>264</v>
      </c>
      <c r="J3" s="1308" t="s">
        <v>261</v>
      </c>
      <c r="K3" s="1308" t="s">
        <v>262</v>
      </c>
      <c r="L3" s="1308" t="s">
        <v>263</v>
      </c>
      <c r="M3" s="1308" t="s">
        <v>264</v>
      </c>
    </row>
    <row r="4" spans="1:13" s="1307" customFormat="1" ht="115.5" customHeight="1">
      <c r="A4" s="1309" t="s">
        <v>755</v>
      </c>
      <c r="B4" s="1310">
        <v>417579.5</v>
      </c>
      <c r="C4" s="1311">
        <v>0</v>
      </c>
      <c r="D4" s="1312">
        <v>13546</v>
      </c>
      <c r="E4" s="1313">
        <f aca="true" t="shared" si="0" ref="E4:E11">SUM(B4+C4-D4)</f>
        <v>404033.5</v>
      </c>
      <c r="F4" s="1310">
        <v>404033.5</v>
      </c>
      <c r="G4" s="1311">
        <v>0</v>
      </c>
      <c r="H4" s="1312">
        <v>60137</v>
      </c>
      <c r="I4" s="1313">
        <v>343896.5</v>
      </c>
      <c r="J4" s="1314">
        <v>343896.5</v>
      </c>
      <c r="K4" s="1311">
        <v>0</v>
      </c>
      <c r="L4" s="1312">
        <v>0</v>
      </c>
      <c r="M4" s="1313">
        <f>J4+K4-L4</f>
        <v>343896.5</v>
      </c>
    </row>
    <row r="5" spans="1:13" s="1307" customFormat="1" ht="115.5" customHeight="1">
      <c r="A5" s="1315" t="s">
        <v>777</v>
      </c>
      <c r="B5" s="1316">
        <v>4567013.89</v>
      </c>
      <c r="C5" s="1317">
        <v>358609.21</v>
      </c>
      <c r="D5" s="1318">
        <v>341176.35</v>
      </c>
      <c r="E5" s="1313">
        <f t="shared" si="0"/>
        <v>4584446.75</v>
      </c>
      <c r="F5" s="1316">
        <v>4600446.75</v>
      </c>
      <c r="G5" s="1317">
        <v>250619.21</v>
      </c>
      <c r="H5" s="1318">
        <v>45399.1</v>
      </c>
      <c r="I5" s="1313">
        <f>SUM(F5+G5-H5)</f>
        <v>4805666.86</v>
      </c>
      <c r="J5" s="1316">
        <v>4805666.86</v>
      </c>
      <c r="K5" s="1317">
        <v>370637.3</v>
      </c>
      <c r="L5" s="1318">
        <v>134384.65</v>
      </c>
      <c r="M5" s="1313">
        <f aca="true" t="shared" si="1" ref="M5:M11">J5+K5-L5</f>
        <v>5041919.51</v>
      </c>
    </row>
    <row r="6" spans="1:13" s="1307" customFormat="1" ht="115.5" customHeight="1">
      <c r="A6" s="1315" t="s">
        <v>568</v>
      </c>
      <c r="B6" s="1319">
        <v>0</v>
      </c>
      <c r="C6" s="1318">
        <v>0</v>
      </c>
      <c r="D6" s="1318">
        <v>0</v>
      </c>
      <c r="E6" s="1313">
        <f t="shared" si="0"/>
        <v>0</v>
      </c>
      <c r="F6" s="1320">
        <v>364000</v>
      </c>
      <c r="G6" s="1318">
        <v>0</v>
      </c>
      <c r="H6" s="1318">
        <v>0</v>
      </c>
      <c r="I6" s="1313">
        <f>SUM(F6+G6-H6)</f>
        <v>364000</v>
      </c>
      <c r="J6" s="1316">
        <v>364000</v>
      </c>
      <c r="K6" s="1317">
        <v>0</v>
      </c>
      <c r="L6" s="1318">
        <v>0</v>
      </c>
      <c r="M6" s="1313">
        <f t="shared" si="1"/>
        <v>364000</v>
      </c>
    </row>
    <row r="7" spans="1:13" s="1307" customFormat="1" ht="115.5" customHeight="1">
      <c r="A7" s="1321" t="s">
        <v>266</v>
      </c>
      <c r="B7" s="1316">
        <v>293424</v>
      </c>
      <c r="C7" s="1318">
        <v>545586</v>
      </c>
      <c r="D7" s="1318">
        <v>545586</v>
      </c>
      <c r="E7" s="1313">
        <f t="shared" si="0"/>
        <v>293424</v>
      </c>
      <c r="F7" s="1316">
        <v>7136424</v>
      </c>
      <c r="G7" s="1318">
        <v>85305</v>
      </c>
      <c r="H7" s="1318">
        <v>85305</v>
      </c>
      <c r="I7" s="1313">
        <v>7136424</v>
      </c>
      <c r="J7" s="1316">
        <v>7136424</v>
      </c>
      <c r="K7" s="1317">
        <v>1221321</v>
      </c>
      <c r="L7" s="1318">
        <v>1221321</v>
      </c>
      <c r="M7" s="1313">
        <f t="shared" si="1"/>
        <v>7136424</v>
      </c>
    </row>
    <row r="8" spans="1:13" s="1307" customFormat="1" ht="115.5" customHeight="1">
      <c r="A8" s="1321" t="s">
        <v>756</v>
      </c>
      <c r="B8" s="1316">
        <v>69854045.9</v>
      </c>
      <c r="C8" s="1322">
        <v>4977702.69</v>
      </c>
      <c r="D8" s="1322">
        <v>2962396.48</v>
      </c>
      <c r="E8" s="1313">
        <f t="shared" si="0"/>
        <v>71869352.11</v>
      </c>
      <c r="F8" s="1316">
        <v>72915352.11</v>
      </c>
      <c r="G8" s="1322">
        <v>7565956.06</v>
      </c>
      <c r="H8" s="1322">
        <v>707880.2</v>
      </c>
      <c r="I8" s="1313">
        <v>79773427.97</v>
      </c>
      <c r="J8" s="1316">
        <v>79773427.97</v>
      </c>
      <c r="K8" s="1323">
        <v>8546925.14</v>
      </c>
      <c r="L8" s="1322">
        <v>2233532.5</v>
      </c>
      <c r="M8" s="1313">
        <f t="shared" si="1"/>
        <v>86086820.61</v>
      </c>
    </row>
    <row r="9" spans="1:13" s="1307" customFormat="1" ht="115.5" customHeight="1">
      <c r="A9" s="1321" t="s">
        <v>770</v>
      </c>
      <c r="B9" s="1316">
        <v>189995687.06</v>
      </c>
      <c r="C9" s="1322">
        <v>12135516.96</v>
      </c>
      <c r="D9" s="1322">
        <v>5346289.66</v>
      </c>
      <c r="E9" s="1324">
        <f t="shared" si="0"/>
        <v>196784914.36</v>
      </c>
      <c r="F9" s="1316">
        <v>196905947.36</v>
      </c>
      <c r="G9" s="1322">
        <v>14850969.97</v>
      </c>
      <c r="H9" s="1322">
        <v>5434821.81</v>
      </c>
      <c r="I9" s="1324">
        <v>206322095.52</v>
      </c>
      <c r="J9" s="1325">
        <v>206322095.52</v>
      </c>
      <c r="K9" s="1323">
        <v>12853617.57</v>
      </c>
      <c r="L9" s="1322">
        <v>6681348.76</v>
      </c>
      <c r="M9" s="1313">
        <f t="shared" si="1"/>
        <v>212494364.33</v>
      </c>
    </row>
    <row r="10" spans="1:13" s="1307" customFormat="1" ht="115.5" customHeight="1">
      <c r="A10" s="1321" t="s">
        <v>268</v>
      </c>
      <c r="B10" s="1316">
        <v>0</v>
      </c>
      <c r="C10" s="1318">
        <v>0</v>
      </c>
      <c r="D10" s="1318">
        <v>0</v>
      </c>
      <c r="E10" s="1324">
        <f t="shared" si="0"/>
        <v>0</v>
      </c>
      <c r="F10" s="1316">
        <v>0</v>
      </c>
      <c r="G10" s="1318">
        <v>0</v>
      </c>
      <c r="H10" s="1318">
        <v>0</v>
      </c>
      <c r="I10" s="1324">
        <v>0</v>
      </c>
      <c r="J10" s="1325">
        <v>0</v>
      </c>
      <c r="K10" s="1317">
        <v>0</v>
      </c>
      <c r="L10" s="1318">
        <v>0</v>
      </c>
      <c r="M10" s="1313">
        <f t="shared" si="1"/>
        <v>0</v>
      </c>
    </row>
    <row r="11" spans="1:13" s="1307" customFormat="1" ht="115.5" customHeight="1" thickBot="1">
      <c r="A11" s="1326" t="s">
        <v>269</v>
      </c>
      <c r="B11" s="1327">
        <v>149425</v>
      </c>
      <c r="C11" s="1328">
        <v>0</v>
      </c>
      <c r="D11" s="1328">
        <v>0</v>
      </c>
      <c r="E11" s="1324">
        <f t="shared" si="0"/>
        <v>149425</v>
      </c>
      <c r="F11" s="1327">
        <v>173425</v>
      </c>
      <c r="G11" s="1328">
        <v>0</v>
      </c>
      <c r="H11" s="1328">
        <v>0</v>
      </c>
      <c r="I11" s="1324">
        <v>173425</v>
      </c>
      <c r="J11" s="1329">
        <v>173425</v>
      </c>
      <c r="K11" s="1330">
        <v>0</v>
      </c>
      <c r="L11" s="1328">
        <v>0</v>
      </c>
      <c r="M11" s="1313">
        <f t="shared" si="1"/>
        <v>173425</v>
      </c>
    </row>
    <row r="12" spans="1:13" s="1335" customFormat="1" ht="110.25" customHeight="1" thickTop="1">
      <c r="A12" s="1331" t="s">
        <v>62</v>
      </c>
      <c r="B12" s="1332">
        <f aca="true" t="shared" si="2" ref="B12:M12">SUM(B4:B11)</f>
        <v>265277175.35000002</v>
      </c>
      <c r="C12" s="1333">
        <f t="shared" si="2"/>
        <v>18017414.86</v>
      </c>
      <c r="D12" s="1333">
        <f t="shared" si="2"/>
        <v>9208994.49</v>
      </c>
      <c r="E12" s="1334">
        <f t="shared" si="2"/>
        <v>274085595.72</v>
      </c>
      <c r="F12" s="1332">
        <f t="shared" si="2"/>
        <v>282499628.72</v>
      </c>
      <c r="G12" s="1333">
        <f t="shared" si="2"/>
        <v>22752850.240000002</v>
      </c>
      <c r="H12" s="1333">
        <f t="shared" si="2"/>
        <v>6333543.109999999</v>
      </c>
      <c r="I12" s="1334">
        <f t="shared" si="2"/>
        <v>298918935.85</v>
      </c>
      <c r="J12" s="1332">
        <f t="shared" si="2"/>
        <v>298918935.85</v>
      </c>
      <c r="K12" s="1333">
        <f t="shared" si="2"/>
        <v>22992501.01</v>
      </c>
      <c r="L12" s="1333">
        <f t="shared" si="2"/>
        <v>10270586.91</v>
      </c>
      <c r="M12" s="1334">
        <f t="shared" si="2"/>
        <v>311640849.95000005</v>
      </c>
    </row>
    <row r="13" spans="1:13" ht="83.25" customHeight="1">
      <c r="A13" s="1631" t="s">
        <v>570</v>
      </c>
      <c r="B13" s="1632"/>
      <c r="C13" s="1632"/>
      <c r="D13" s="1632"/>
      <c r="E13" s="1632"/>
      <c r="F13" s="1632"/>
      <c r="G13" s="1632"/>
      <c r="H13" s="1632"/>
      <c r="I13" s="1632"/>
      <c r="J13" s="1633"/>
      <c r="K13" s="1633"/>
      <c r="L13" s="1633"/>
      <c r="M13" s="1633"/>
    </row>
  </sheetData>
  <sheetProtection/>
  <mergeCells count="6">
    <mergeCell ref="A13:M13"/>
    <mergeCell ref="B2:E2"/>
    <mergeCell ref="J2:M2"/>
    <mergeCell ref="A1:L1"/>
    <mergeCell ref="F2:I2"/>
    <mergeCell ref="A2:A3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35" r:id="rId1"/>
  <headerFooter>
    <oddFooter>&amp;LZávěrečný účet za r.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9"/>
  <sheetViews>
    <sheetView view="pageBreakPreview" zoomScaleSheetLayoutView="100" zoomScalePageLayoutView="0" workbookViewId="0" topLeftCell="B43">
      <selection activeCell="B55" sqref="B55"/>
    </sheetView>
  </sheetViews>
  <sheetFormatPr defaultColWidth="9.00390625" defaultRowHeight="12.75"/>
  <cols>
    <col min="1" max="1" width="81.00390625" style="84" customWidth="1"/>
    <col min="2" max="2" width="23.625" style="325" customWidth="1"/>
    <col min="3" max="3" width="14.00390625" style="84" bestFit="1" customWidth="1"/>
    <col min="4" max="4" width="9.125" style="290" customWidth="1"/>
    <col min="5" max="5" width="11.625" style="290" hidden="1" customWidth="1"/>
    <col min="6" max="6" width="9.125" style="260" hidden="1" customWidth="1"/>
    <col min="7" max="16384" width="9.125" style="260" customWidth="1"/>
  </cols>
  <sheetData>
    <row r="1" spans="1:3" ht="66.75" customHeight="1">
      <c r="A1" s="1302" t="s">
        <v>757</v>
      </c>
      <c r="B1" s="1303" t="s">
        <v>276</v>
      </c>
      <c r="C1" s="289"/>
    </row>
    <row r="2" spans="1:3" ht="27.75" customHeight="1">
      <c r="A2" s="1639" t="s">
        <v>277</v>
      </c>
      <c r="B2" s="1640"/>
      <c r="C2" s="289"/>
    </row>
    <row r="3" spans="1:3" ht="22.5" customHeight="1">
      <c r="A3" s="291" t="s">
        <v>278</v>
      </c>
      <c r="B3" s="292"/>
      <c r="C3" s="289"/>
    </row>
    <row r="4" spans="1:3" ht="22.5" customHeight="1">
      <c r="A4" s="293" t="s">
        <v>544</v>
      </c>
      <c r="B4" s="294">
        <v>-809.3</v>
      </c>
      <c r="C4" s="289"/>
    </row>
    <row r="5" spans="1:3" ht="22.5" customHeight="1">
      <c r="A5" s="293" t="s">
        <v>545</v>
      </c>
      <c r="B5" s="334">
        <v>-42313</v>
      </c>
      <c r="C5" s="289"/>
    </row>
    <row r="6" spans="1:3" ht="22.5" customHeight="1">
      <c r="A6" s="293" t="s">
        <v>778</v>
      </c>
      <c r="B6" s="334">
        <v>-20701</v>
      </c>
      <c r="C6" s="289"/>
    </row>
    <row r="7" spans="1:3" ht="22.5" customHeight="1">
      <c r="A7" s="293" t="s">
        <v>546</v>
      </c>
      <c r="B7" s="334">
        <v>-443</v>
      </c>
      <c r="C7" s="289"/>
    </row>
    <row r="8" spans="1:3" ht="22.5" customHeight="1" thickBot="1">
      <c r="A8" s="293" t="s">
        <v>547</v>
      </c>
      <c r="B8" s="334">
        <v>-91165</v>
      </c>
      <c r="C8" s="289"/>
    </row>
    <row r="9" spans="1:3" ht="27.75" customHeight="1" thickBot="1" thickTop="1">
      <c r="A9" s="340" t="s">
        <v>62</v>
      </c>
      <c r="B9" s="341">
        <f>SUM(B4:B8)</f>
        <v>-155431.3</v>
      </c>
      <c r="C9" s="289"/>
    </row>
    <row r="10" spans="1:256" ht="27.75" customHeight="1" thickTop="1">
      <c r="A10" s="1641" t="s">
        <v>279</v>
      </c>
      <c r="B10" s="1642"/>
      <c r="C10" s="296"/>
      <c r="D10" s="297"/>
      <c r="E10" s="297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298"/>
      <c r="EC10" s="298"/>
      <c r="ED10" s="298"/>
      <c r="EE10" s="298"/>
      <c r="EF10" s="298"/>
      <c r="EG10" s="298"/>
      <c r="EH10" s="298"/>
      <c r="EI10" s="298"/>
      <c r="EJ10" s="298"/>
      <c r="EK10" s="298"/>
      <c r="EL10" s="298"/>
      <c r="EM10" s="298"/>
      <c r="EN10" s="298"/>
      <c r="EO10" s="298"/>
      <c r="EP10" s="298"/>
      <c r="EQ10" s="298"/>
      <c r="ER10" s="298"/>
      <c r="ES10" s="298"/>
      <c r="ET10" s="298"/>
      <c r="EU10" s="298"/>
      <c r="EV10" s="298"/>
      <c r="EW10" s="298"/>
      <c r="EX10" s="298"/>
      <c r="EY10" s="298"/>
      <c r="EZ10" s="298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8"/>
      <c r="FL10" s="298"/>
      <c r="FM10" s="298"/>
      <c r="FN10" s="298"/>
      <c r="FO10" s="298"/>
      <c r="FP10" s="298"/>
      <c r="FQ10" s="298"/>
      <c r="FR10" s="298"/>
      <c r="FS10" s="298"/>
      <c r="FT10" s="298"/>
      <c r="FU10" s="298"/>
      <c r="FV10" s="298"/>
      <c r="FW10" s="298"/>
      <c r="FX10" s="298"/>
      <c r="FY10" s="298"/>
      <c r="FZ10" s="298"/>
      <c r="GA10" s="298"/>
      <c r="GB10" s="298"/>
      <c r="GC10" s="298"/>
      <c r="GD10" s="298"/>
      <c r="GE10" s="298"/>
      <c r="GF10" s="298"/>
      <c r="GG10" s="298"/>
      <c r="GH10" s="298"/>
      <c r="GI10" s="298"/>
      <c r="GJ10" s="298"/>
      <c r="GK10" s="298"/>
      <c r="GL10" s="298"/>
      <c r="GM10" s="298"/>
      <c r="GN10" s="298"/>
      <c r="GO10" s="298"/>
      <c r="GP10" s="298"/>
      <c r="GQ10" s="298"/>
      <c r="GR10" s="298"/>
      <c r="GS10" s="298"/>
      <c r="GT10" s="298"/>
      <c r="GU10" s="298"/>
      <c r="GV10" s="298"/>
      <c r="GW10" s="298"/>
      <c r="GX10" s="298"/>
      <c r="GY10" s="298"/>
      <c r="GZ10" s="298"/>
      <c r="HA10" s="298"/>
      <c r="HB10" s="298"/>
      <c r="HC10" s="298"/>
      <c r="HD10" s="298"/>
      <c r="HE10" s="298"/>
      <c r="HF10" s="298"/>
      <c r="HG10" s="298"/>
      <c r="HH10" s="298"/>
      <c r="HI10" s="298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298"/>
      <c r="HU10" s="298"/>
      <c r="HV10" s="298"/>
      <c r="HW10" s="298"/>
      <c r="HX10" s="298"/>
      <c r="HY10" s="298"/>
      <c r="HZ10" s="298"/>
      <c r="IA10" s="298"/>
      <c r="IB10" s="298"/>
      <c r="IC10" s="298"/>
      <c r="ID10" s="298"/>
      <c r="IE10" s="298"/>
      <c r="IF10" s="298"/>
      <c r="IG10" s="298"/>
      <c r="IH10" s="298"/>
      <c r="II10" s="298"/>
      <c r="IJ10" s="298"/>
      <c r="IK10" s="298"/>
      <c r="IL10" s="298"/>
      <c r="IM10" s="298"/>
      <c r="IN10" s="298"/>
      <c r="IO10" s="298"/>
      <c r="IP10" s="298"/>
      <c r="IQ10" s="298"/>
      <c r="IR10" s="298"/>
      <c r="IS10" s="298"/>
      <c r="IT10" s="298"/>
      <c r="IU10" s="298"/>
      <c r="IV10" s="298"/>
    </row>
    <row r="11" spans="1:256" ht="21.75" customHeight="1">
      <c r="A11" s="343" t="s">
        <v>548</v>
      </c>
      <c r="B11" s="295">
        <v>-3037.65</v>
      </c>
      <c r="C11" s="296"/>
      <c r="D11" s="297"/>
      <c r="E11" s="297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298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298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298"/>
      <c r="IO11" s="298"/>
      <c r="IP11" s="298"/>
      <c r="IQ11" s="298"/>
      <c r="IR11" s="298"/>
      <c r="IS11" s="298"/>
      <c r="IT11" s="298"/>
      <c r="IU11" s="298"/>
      <c r="IV11" s="298"/>
    </row>
    <row r="12" spans="1:256" ht="21.75" customHeight="1">
      <c r="A12" s="299" t="s">
        <v>284</v>
      </c>
      <c r="B12" s="295">
        <v>-272370</v>
      </c>
      <c r="C12" s="296"/>
      <c r="D12" s="297"/>
      <c r="E12" s="297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8"/>
      <c r="FW12" s="298"/>
      <c r="FX12" s="298"/>
      <c r="FY12" s="298"/>
      <c r="FZ12" s="298"/>
      <c r="GA12" s="298"/>
      <c r="GB12" s="298"/>
      <c r="GC12" s="298"/>
      <c r="GD12" s="298"/>
      <c r="GE12" s="298"/>
      <c r="GF12" s="298"/>
      <c r="GG12" s="298"/>
      <c r="GH12" s="298"/>
      <c r="GI12" s="298"/>
      <c r="GJ12" s="298"/>
      <c r="GK12" s="298"/>
      <c r="GL12" s="298"/>
      <c r="GM12" s="298"/>
      <c r="GN12" s="298"/>
      <c r="GO12" s="298"/>
      <c r="GP12" s="298"/>
      <c r="GQ12" s="298"/>
      <c r="GR12" s="298"/>
      <c r="GS12" s="298"/>
      <c r="GT12" s="298"/>
      <c r="GU12" s="298"/>
      <c r="GV12" s="298"/>
      <c r="GW12" s="298"/>
      <c r="GX12" s="298"/>
      <c r="GY12" s="298"/>
      <c r="GZ12" s="298"/>
      <c r="HA12" s="298"/>
      <c r="HB12" s="298"/>
      <c r="HC12" s="298"/>
      <c r="HD12" s="298"/>
      <c r="HE12" s="298"/>
      <c r="HF12" s="298"/>
      <c r="HG12" s="298"/>
      <c r="HH12" s="298"/>
      <c r="HI12" s="298"/>
      <c r="HJ12" s="298"/>
      <c r="HK12" s="298"/>
      <c r="HL12" s="298"/>
      <c r="HM12" s="298"/>
      <c r="HN12" s="298"/>
      <c r="HO12" s="298"/>
      <c r="HP12" s="298"/>
      <c r="HQ12" s="298"/>
      <c r="HR12" s="298"/>
      <c r="HS12" s="298"/>
      <c r="HT12" s="298"/>
      <c r="HU12" s="298"/>
      <c r="HV12" s="298"/>
      <c r="HW12" s="298"/>
      <c r="HX12" s="298"/>
      <c r="HY12" s="298"/>
      <c r="HZ12" s="298"/>
      <c r="IA12" s="298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  <c r="IM12" s="298"/>
      <c r="IN12" s="298"/>
      <c r="IO12" s="298"/>
      <c r="IP12" s="298"/>
      <c r="IQ12" s="298"/>
      <c r="IR12" s="298"/>
      <c r="IS12" s="298"/>
      <c r="IT12" s="298"/>
      <c r="IU12" s="298"/>
      <c r="IV12" s="298"/>
    </row>
    <row r="13" spans="1:256" ht="21.75" customHeight="1">
      <c r="A13" s="310" t="s">
        <v>549</v>
      </c>
      <c r="B13" s="313">
        <v>-19</v>
      </c>
      <c r="C13" s="296"/>
      <c r="D13" s="297"/>
      <c r="E13" s="297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  <c r="GO13" s="29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298"/>
      <c r="HA13" s="298"/>
      <c r="HB13" s="298"/>
      <c r="HC13" s="298"/>
      <c r="HD13" s="298"/>
      <c r="HE13" s="298"/>
      <c r="HF13" s="298"/>
      <c r="HG13" s="298"/>
      <c r="HH13" s="298"/>
      <c r="HI13" s="298"/>
      <c r="HJ13" s="298"/>
      <c r="HK13" s="298"/>
      <c r="HL13" s="298"/>
      <c r="HM13" s="298"/>
      <c r="HN13" s="298"/>
      <c r="HO13" s="298"/>
      <c r="HP13" s="298"/>
      <c r="HQ13" s="298"/>
      <c r="HR13" s="298"/>
      <c r="HS13" s="298"/>
      <c r="HT13" s="298"/>
      <c r="HU13" s="298"/>
      <c r="HV13" s="298"/>
      <c r="HW13" s="298"/>
      <c r="HX13" s="298"/>
      <c r="HY13" s="298"/>
      <c r="HZ13" s="298"/>
      <c r="IA13" s="298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  <c r="IM13" s="298"/>
      <c r="IN13" s="298"/>
      <c r="IO13" s="298"/>
      <c r="IP13" s="298"/>
      <c r="IQ13" s="298"/>
      <c r="IR13" s="298"/>
      <c r="IS13" s="298"/>
      <c r="IT13" s="298"/>
      <c r="IU13" s="298"/>
      <c r="IV13" s="298"/>
    </row>
    <row r="14" spans="1:256" ht="21.75" customHeight="1">
      <c r="A14" s="301" t="s">
        <v>550</v>
      </c>
      <c r="B14" s="302">
        <v>-1096245.99</v>
      </c>
      <c r="C14" s="296"/>
      <c r="D14" s="297"/>
      <c r="E14" s="297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298"/>
      <c r="EO14" s="298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298"/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298"/>
      <c r="FM14" s="298"/>
      <c r="FN14" s="298"/>
      <c r="FO14" s="298"/>
      <c r="FP14" s="298"/>
      <c r="FQ14" s="298"/>
      <c r="FR14" s="298"/>
      <c r="FS14" s="298"/>
      <c r="FT14" s="298"/>
      <c r="FU14" s="298"/>
      <c r="FV14" s="298"/>
      <c r="FW14" s="298"/>
      <c r="FX14" s="298"/>
      <c r="FY14" s="298"/>
      <c r="FZ14" s="298"/>
      <c r="GA14" s="298"/>
      <c r="GB14" s="298"/>
      <c r="GC14" s="298"/>
      <c r="GD14" s="298"/>
      <c r="GE14" s="298"/>
      <c r="GF14" s="298"/>
      <c r="GG14" s="298"/>
      <c r="GH14" s="298"/>
      <c r="GI14" s="298"/>
      <c r="GJ14" s="298"/>
      <c r="GK14" s="298"/>
      <c r="GL14" s="298"/>
      <c r="GM14" s="298"/>
      <c r="GN14" s="298"/>
      <c r="GO14" s="298"/>
      <c r="GP14" s="298"/>
      <c r="GQ14" s="298"/>
      <c r="GR14" s="298"/>
      <c r="GS14" s="298"/>
      <c r="GT14" s="298"/>
      <c r="GU14" s="298"/>
      <c r="GV14" s="298"/>
      <c r="GW14" s="298"/>
      <c r="GX14" s="298"/>
      <c r="GY14" s="298"/>
      <c r="GZ14" s="298"/>
      <c r="HA14" s="298"/>
      <c r="HB14" s="298"/>
      <c r="HC14" s="298"/>
      <c r="HD14" s="298"/>
      <c r="HE14" s="298"/>
      <c r="HF14" s="298"/>
      <c r="HG14" s="298"/>
      <c r="HH14" s="298"/>
      <c r="HI14" s="298"/>
      <c r="HJ14" s="298"/>
      <c r="HK14" s="298"/>
      <c r="HL14" s="298"/>
      <c r="HM14" s="298"/>
      <c r="HN14" s="298"/>
      <c r="HO14" s="298"/>
      <c r="HP14" s="298"/>
      <c r="HQ14" s="298"/>
      <c r="HR14" s="298"/>
      <c r="HS14" s="298"/>
      <c r="HT14" s="298"/>
      <c r="HU14" s="298"/>
      <c r="HV14" s="298"/>
      <c r="HW14" s="298"/>
      <c r="HX14" s="298"/>
      <c r="HY14" s="298"/>
      <c r="HZ14" s="298"/>
      <c r="IA14" s="298"/>
      <c r="IB14" s="298"/>
      <c r="IC14" s="298"/>
      <c r="ID14" s="298"/>
      <c r="IE14" s="298"/>
      <c r="IF14" s="298"/>
      <c r="IG14" s="298"/>
      <c r="IH14" s="298"/>
      <c r="II14" s="298"/>
      <c r="IJ14" s="298"/>
      <c r="IK14" s="298"/>
      <c r="IL14" s="298"/>
      <c r="IM14" s="298"/>
      <c r="IN14" s="298"/>
      <c r="IO14" s="298"/>
      <c r="IP14" s="298"/>
      <c r="IQ14" s="298"/>
      <c r="IR14" s="298"/>
      <c r="IS14" s="298"/>
      <c r="IT14" s="298"/>
      <c r="IU14" s="298"/>
      <c r="IV14" s="298"/>
    </row>
    <row r="15" spans="1:256" ht="21.75" customHeight="1">
      <c r="A15" s="301" t="s">
        <v>712</v>
      </c>
      <c r="B15" s="302">
        <v>-3500000</v>
      </c>
      <c r="C15" s="296"/>
      <c r="D15" s="297"/>
      <c r="E15" s="297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8"/>
      <c r="FM15" s="298"/>
      <c r="FN15" s="298"/>
      <c r="FO15" s="298"/>
      <c r="FP15" s="298"/>
      <c r="FQ15" s="298"/>
      <c r="FR15" s="298"/>
      <c r="FS15" s="298"/>
      <c r="FT15" s="298"/>
      <c r="FU15" s="298"/>
      <c r="FV15" s="298"/>
      <c r="FW15" s="298"/>
      <c r="FX15" s="298"/>
      <c r="FY15" s="298"/>
      <c r="FZ15" s="298"/>
      <c r="GA15" s="298"/>
      <c r="GB15" s="298"/>
      <c r="GC15" s="298"/>
      <c r="GD15" s="298"/>
      <c r="GE15" s="298"/>
      <c r="GF15" s="298"/>
      <c r="GG15" s="298"/>
      <c r="GH15" s="298"/>
      <c r="GI15" s="298"/>
      <c r="GJ15" s="298"/>
      <c r="GK15" s="298"/>
      <c r="GL15" s="298"/>
      <c r="GM15" s="298"/>
      <c r="GN15" s="298"/>
      <c r="GO15" s="298"/>
      <c r="GP15" s="298"/>
      <c r="GQ15" s="298"/>
      <c r="GR15" s="298"/>
      <c r="GS15" s="298"/>
      <c r="GT15" s="298"/>
      <c r="GU15" s="298"/>
      <c r="GV15" s="298"/>
      <c r="GW15" s="298"/>
      <c r="GX15" s="298"/>
      <c r="GY15" s="298"/>
      <c r="GZ15" s="298"/>
      <c r="HA15" s="298"/>
      <c r="HB15" s="298"/>
      <c r="HC15" s="298"/>
      <c r="HD15" s="298"/>
      <c r="HE15" s="298"/>
      <c r="HF15" s="298"/>
      <c r="HG15" s="298"/>
      <c r="HH15" s="298"/>
      <c r="HI15" s="298"/>
      <c r="HJ15" s="298"/>
      <c r="HK15" s="298"/>
      <c r="HL15" s="298"/>
      <c r="HM15" s="298"/>
      <c r="HN15" s="298"/>
      <c r="HO15" s="298"/>
      <c r="HP15" s="298"/>
      <c r="HQ15" s="298"/>
      <c r="HR15" s="298"/>
      <c r="HS15" s="298"/>
      <c r="HT15" s="298"/>
      <c r="HU15" s="298"/>
      <c r="HV15" s="298"/>
      <c r="HW15" s="298"/>
      <c r="HX15" s="298"/>
      <c r="HY15" s="298"/>
      <c r="HZ15" s="298"/>
      <c r="IA15" s="298"/>
      <c r="IB15" s="298"/>
      <c r="IC15" s="298"/>
      <c r="ID15" s="298"/>
      <c r="IE15" s="298"/>
      <c r="IF15" s="298"/>
      <c r="IG15" s="298"/>
      <c r="IH15" s="298"/>
      <c r="II15" s="298"/>
      <c r="IJ15" s="298"/>
      <c r="IK15" s="298"/>
      <c r="IL15" s="298"/>
      <c r="IM15" s="298"/>
      <c r="IN15" s="298"/>
      <c r="IO15" s="298"/>
      <c r="IP15" s="298"/>
      <c r="IQ15" s="298"/>
      <c r="IR15" s="298"/>
      <c r="IS15" s="298"/>
      <c r="IT15" s="298"/>
      <c r="IU15" s="298"/>
      <c r="IV15" s="298"/>
    </row>
    <row r="16" spans="1:256" ht="21.75" customHeight="1">
      <c r="A16" s="301" t="s">
        <v>551</v>
      </c>
      <c r="B16" s="302">
        <v>-2000000</v>
      </c>
      <c r="C16" s="296"/>
      <c r="D16" s="297"/>
      <c r="E16" s="297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8"/>
      <c r="FL16" s="298"/>
      <c r="FM16" s="298"/>
      <c r="FN16" s="298"/>
      <c r="FO16" s="298"/>
      <c r="FP16" s="298"/>
      <c r="FQ16" s="298"/>
      <c r="FR16" s="298"/>
      <c r="FS16" s="298"/>
      <c r="FT16" s="298"/>
      <c r="FU16" s="298"/>
      <c r="FV16" s="298"/>
      <c r="FW16" s="298"/>
      <c r="FX16" s="298"/>
      <c r="FY16" s="298"/>
      <c r="FZ16" s="298"/>
      <c r="GA16" s="298"/>
      <c r="GB16" s="298"/>
      <c r="GC16" s="298"/>
      <c r="GD16" s="298"/>
      <c r="GE16" s="298"/>
      <c r="GF16" s="298"/>
      <c r="GG16" s="298"/>
      <c r="GH16" s="298"/>
      <c r="GI16" s="298"/>
      <c r="GJ16" s="298"/>
      <c r="GK16" s="298"/>
      <c r="GL16" s="298"/>
      <c r="GM16" s="298"/>
      <c r="GN16" s="298"/>
      <c r="GO16" s="298"/>
      <c r="GP16" s="298"/>
      <c r="GQ16" s="298"/>
      <c r="GR16" s="298"/>
      <c r="GS16" s="298"/>
      <c r="GT16" s="298"/>
      <c r="GU16" s="298"/>
      <c r="GV16" s="298"/>
      <c r="GW16" s="298"/>
      <c r="GX16" s="298"/>
      <c r="GY16" s="298"/>
      <c r="GZ16" s="298"/>
      <c r="HA16" s="298"/>
      <c r="HB16" s="298"/>
      <c r="HC16" s="298"/>
      <c r="HD16" s="298"/>
      <c r="HE16" s="298"/>
      <c r="HF16" s="298"/>
      <c r="HG16" s="298"/>
      <c r="HH16" s="298"/>
      <c r="HI16" s="298"/>
      <c r="HJ16" s="298"/>
      <c r="HK16" s="298"/>
      <c r="HL16" s="298"/>
      <c r="HM16" s="298"/>
      <c r="HN16" s="298"/>
      <c r="HO16" s="298"/>
      <c r="HP16" s="298"/>
      <c r="HQ16" s="298"/>
      <c r="HR16" s="298"/>
      <c r="HS16" s="298"/>
      <c r="HT16" s="298"/>
      <c r="HU16" s="298"/>
      <c r="HV16" s="298"/>
      <c r="HW16" s="298"/>
      <c r="HX16" s="298"/>
      <c r="HY16" s="298"/>
      <c r="HZ16" s="298"/>
      <c r="IA16" s="298"/>
      <c r="IB16" s="298"/>
      <c r="IC16" s="298"/>
      <c r="ID16" s="298"/>
      <c r="IE16" s="298"/>
      <c r="IF16" s="298"/>
      <c r="IG16" s="298"/>
      <c r="IH16" s="298"/>
      <c r="II16" s="298"/>
      <c r="IJ16" s="298"/>
      <c r="IK16" s="298"/>
      <c r="IL16" s="298"/>
      <c r="IM16" s="298"/>
      <c r="IN16" s="298"/>
      <c r="IO16" s="298"/>
      <c r="IP16" s="298"/>
      <c r="IQ16" s="298"/>
      <c r="IR16" s="298"/>
      <c r="IS16" s="298"/>
      <c r="IT16" s="298"/>
      <c r="IU16" s="298"/>
      <c r="IV16" s="298"/>
    </row>
    <row r="17" spans="1:256" ht="21.75" customHeight="1">
      <c r="A17" s="301" t="s">
        <v>552</v>
      </c>
      <c r="B17" s="302">
        <v>-2775000</v>
      </c>
      <c r="C17" s="296"/>
      <c r="D17" s="297"/>
      <c r="E17" s="297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8"/>
      <c r="EU17" s="298"/>
      <c r="EV17" s="298"/>
      <c r="EW17" s="298"/>
      <c r="EX17" s="298"/>
      <c r="EY17" s="298"/>
      <c r="EZ17" s="298"/>
      <c r="FA17" s="298"/>
      <c r="FB17" s="298"/>
      <c r="FC17" s="298"/>
      <c r="FD17" s="298"/>
      <c r="FE17" s="298"/>
      <c r="FF17" s="298"/>
      <c r="FG17" s="298"/>
      <c r="FH17" s="298"/>
      <c r="FI17" s="298"/>
      <c r="FJ17" s="298"/>
      <c r="FK17" s="298"/>
      <c r="FL17" s="298"/>
      <c r="FM17" s="298"/>
      <c r="FN17" s="298"/>
      <c r="FO17" s="298"/>
      <c r="FP17" s="298"/>
      <c r="FQ17" s="298"/>
      <c r="FR17" s="298"/>
      <c r="FS17" s="298"/>
      <c r="FT17" s="298"/>
      <c r="FU17" s="298"/>
      <c r="FV17" s="298"/>
      <c r="FW17" s="298"/>
      <c r="FX17" s="298"/>
      <c r="FY17" s="298"/>
      <c r="FZ17" s="298"/>
      <c r="GA17" s="298"/>
      <c r="GB17" s="298"/>
      <c r="GC17" s="298"/>
      <c r="GD17" s="298"/>
      <c r="GE17" s="298"/>
      <c r="GF17" s="298"/>
      <c r="GG17" s="298"/>
      <c r="GH17" s="298"/>
      <c r="GI17" s="298"/>
      <c r="GJ17" s="298"/>
      <c r="GK17" s="298"/>
      <c r="GL17" s="298"/>
      <c r="GM17" s="298"/>
      <c r="GN17" s="298"/>
      <c r="GO17" s="298"/>
      <c r="GP17" s="298"/>
      <c r="GQ17" s="298"/>
      <c r="GR17" s="298"/>
      <c r="GS17" s="298"/>
      <c r="GT17" s="298"/>
      <c r="GU17" s="298"/>
      <c r="GV17" s="298"/>
      <c r="GW17" s="298"/>
      <c r="GX17" s="298"/>
      <c r="GY17" s="298"/>
      <c r="GZ17" s="298"/>
      <c r="HA17" s="298"/>
      <c r="HB17" s="298"/>
      <c r="HC17" s="298"/>
      <c r="HD17" s="298"/>
      <c r="HE17" s="298"/>
      <c r="HF17" s="298"/>
      <c r="HG17" s="298"/>
      <c r="HH17" s="298"/>
      <c r="HI17" s="298"/>
      <c r="HJ17" s="298"/>
      <c r="HK17" s="298"/>
      <c r="HL17" s="298"/>
      <c r="HM17" s="298"/>
      <c r="HN17" s="298"/>
      <c r="HO17" s="298"/>
      <c r="HP17" s="298"/>
      <c r="HQ17" s="298"/>
      <c r="HR17" s="298"/>
      <c r="HS17" s="298"/>
      <c r="HT17" s="298"/>
      <c r="HU17" s="298"/>
      <c r="HV17" s="298"/>
      <c r="HW17" s="298"/>
      <c r="HX17" s="298"/>
      <c r="HY17" s="298"/>
      <c r="HZ17" s="298"/>
      <c r="IA17" s="298"/>
      <c r="IB17" s="298"/>
      <c r="IC17" s="298"/>
      <c r="ID17" s="298"/>
      <c r="IE17" s="298"/>
      <c r="IF17" s="298"/>
      <c r="IG17" s="298"/>
      <c r="IH17" s="298"/>
      <c r="II17" s="298"/>
      <c r="IJ17" s="298"/>
      <c r="IK17" s="298"/>
      <c r="IL17" s="298"/>
      <c r="IM17" s="298"/>
      <c r="IN17" s="298"/>
      <c r="IO17" s="298"/>
      <c r="IP17" s="298"/>
      <c r="IQ17" s="298"/>
      <c r="IR17" s="298"/>
      <c r="IS17" s="298"/>
      <c r="IT17" s="298"/>
      <c r="IU17" s="298"/>
      <c r="IV17" s="298"/>
    </row>
    <row r="18" spans="1:256" ht="21.75" customHeight="1">
      <c r="A18" s="301" t="s">
        <v>553</v>
      </c>
      <c r="B18" s="302">
        <v>-460000</v>
      </c>
      <c r="C18" s="296"/>
      <c r="D18" s="297"/>
      <c r="E18" s="297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298"/>
      <c r="EF18" s="298"/>
      <c r="EG18" s="298"/>
      <c r="EH18" s="298"/>
      <c r="EI18" s="298"/>
      <c r="EJ18" s="298"/>
      <c r="EK18" s="298"/>
      <c r="EL18" s="298"/>
      <c r="EM18" s="298"/>
      <c r="EN18" s="298"/>
      <c r="EO18" s="298"/>
      <c r="EP18" s="298"/>
      <c r="EQ18" s="298"/>
      <c r="ER18" s="298"/>
      <c r="ES18" s="298"/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8"/>
      <c r="FF18" s="298"/>
      <c r="FG18" s="298"/>
      <c r="FH18" s="298"/>
      <c r="FI18" s="298"/>
      <c r="FJ18" s="298"/>
      <c r="FK18" s="298"/>
      <c r="FL18" s="298"/>
      <c r="FM18" s="298"/>
      <c r="FN18" s="298"/>
      <c r="FO18" s="298"/>
      <c r="FP18" s="298"/>
      <c r="FQ18" s="298"/>
      <c r="FR18" s="298"/>
      <c r="FS18" s="298"/>
      <c r="FT18" s="298"/>
      <c r="FU18" s="298"/>
      <c r="FV18" s="298"/>
      <c r="FW18" s="298"/>
      <c r="FX18" s="298"/>
      <c r="FY18" s="298"/>
      <c r="FZ18" s="298"/>
      <c r="GA18" s="298"/>
      <c r="GB18" s="298"/>
      <c r="GC18" s="298"/>
      <c r="GD18" s="298"/>
      <c r="GE18" s="298"/>
      <c r="GF18" s="298"/>
      <c r="GG18" s="298"/>
      <c r="GH18" s="298"/>
      <c r="GI18" s="298"/>
      <c r="GJ18" s="298"/>
      <c r="GK18" s="298"/>
      <c r="GL18" s="298"/>
      <c r="GM18" s="298"/>
      <c r="GN18" s="298"/>
      <c r="GO18" s="298"/>
      <c r="GP18" s="298"/>
      <c r="GQ18" s="298"/>
      <c r="GR18" s="298"/>
      <c r="GS18" s="298"/>
      <c r="GT18" s="298"/>
      <c r="GU18" s="298"/>
      <c r="GV18" s="298"/>
      <c r="GW18" s="298"/>
      <c r="GX18" s="298"/>
      <c r="GY18" s="298"/>
      <c r="GZ18" s="298"/>
      <c r="HA18" s="298"/>
      <c r="HB18" s="298"/>
      <c r="HC18" s="298"/>
      <c r="HD18" s="298"/>
      <c r="HE18" s="298"/>
      <c r="HF18" s="298"/>
      <c r="HG18" s="298"/>
      <c r="HH18" s="298"/>
      <c r="HI18" s="298"/>
      <c r="HJ18" s="298"/>
      <c r="HK18" s="298"/>
      <c r="HL18" s="298"/>
      <c r="HM18" s="298"/>
      <c r="HN18" s="298"/>
      <c r="HO18" s="298"/>
      <c r="HP18" s="298"/>
      <c r="HQ18" s="298"/>
      <c r="HR18" s="298"/>
      <c r="HS18" s="298"/>
      <c r="HT18" s="298"/>
      <c r="HU18" s="298"/>
      <c r="HV18" s="298"/>
      <c r="HW18" s="298"/>
      <c r="HX18" s="298"/>
      <c r="HY18" s="298"/>
      <c r="HZ18" s="298"/>
      <c r="IA18" s="298"/>
      <c r="IB18" s="298"/>
      <c r="IC18" s="298"/>
      <c r="ID18" s="298"/>
      <c r="IE18" s="298"/>
      <c r="IF18" s="298"/>
      <c r="IG18" s="298"/>
      <c r="IH18" s="298"/>
      <c r="II18" s="298"/>
      <c r="IJ18" s="298"/>
      <c r="IK18" s="298"/>
      <c r="IL18" s="298"/>
      <c r="IM18" s="298"/>
      <c r="IN18" s="298"/>
      <c r="IO18" s="298"/>
      <c r="IP18" s="298"/>
      <c r="IQ18" s="298"/>
      <c r="IR18" s="298"/>
      <c r="IS18" s="298"/>
      <c r="IT18" s="298"/>
      <c r="IU18" s="298"/>
      <c r="IV18" s="298"/>
    </row>
    <row r="19" spans="1:256" ht="21.75" customHeight="1">
      <c r="A19" s="301" t="s">
        <v>554</v>
      </c>
      <c r="B19" s="302">
        <v>-975000</v>
      </c>
      <c r="C19" s="296"/>
      <c r="D19" s="297"/>
      <c r="E19" s="297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8"/>
      <c r="EO19" s="298"/>
      <c r="EP19" s="298"/>
      <c r="EQ19" s="298"/>
      <c r="ER19" s="298"/>
      <c r="ES19" s="298"/>
      <c r="ET19" s="298"/>
      <c r="EU19" s="298"/>
      <c r="EV19" s="298"/>
      <c r="EW19" s="298"/>
      <c r="EX19" s="298"/>
      <c r="EY19" s="298"/>
      <c r="EZ19" s="298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298"/>
      <c r="FL19" s="298"/>
      <c r="FM19" s="298"/>
      <c r="FN19" s="298"/>
      <c r="FO19" s="298"/>
      <c r="FP19" s="298"/>
      <c r="FQ19" s="298"/>
      <c r="FR19" s="298"/>
      <c r="FS19" s="298"/>
      <c r="FT19" s="298"/>
      <c r="FU19" s="298"/>
      <c r="FV19" s="298"/>
      <c r="FW19" s="298"/>
      <c r="FX19" s="298"/>
      <c r="FY19" s="298"/>
      <c r="FZ19" s="298"/>
      <c r="GA19" s="298"/>
      <c r="GB19" s="298"/>
      <c r="GC19" s="298"/>
      <c r="GD19" s="298"/>
      <c r="GE19" s="298"/>
      <c r="GF19" s="298"/>
      <c r="GG19" s="298"/>
      <c r="GH19" s="298"/>
      <c r="GI19" s="298"/>
      <c r="GJ19" s="298"/>
      <c r="GK19" s="298"/>
      <c r="GL19" s="298"/>
      <c r="GM19" s="298"/>
      <c r="GN19" s="298"/>
      <c r="GO19" s="298"/>
      <c r="GP19" s="298"/>
      <c r="GQ19" s="298"/>
      <c r="GR19" s="298"/>
      <c r="GS19" s="298"/>
      <c r="GT19" s="298"/>
      <c r="GU19" s="298"/>
      <c r="GV19" s="298"/>
      <c r="GW19" s="298"/>
      <c r="GX19" s="298"/>
      <c r="GY19" s="298"/>
      <c r="GZ19" s="298"/>
      <c r="HA19" s="298"/>
      <c r="HB19" s="298"/>
      <c r="HC19" s="298"/>
      <c r="HD19" s="298"/>
      <c r="HE19" s="298"/>
      <c r="HF19" s="298"/>
      <c r="HG19" s="298"/>
      <c r="HH19" s="298"/>
      <c r="HI19" s="298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298"/>
      <c r="HU19" s="298"/>
      <c r="HV19" s="298"/>
      <c r="HW19" s="298"/>
      <c r="HX19" s="298"/>
      <c r="HY19" s="298"/>
      <c r="HZ19" s="298"/>
      <c r="IA19" s="298"/>
      <c r="IB19" s="298"/>
      <c r="IC19" s="298"/>
      <c r="ID19" s="298"/>
      <c r="IE19" s="298"/>
      <c r="IF19" s="298"/>
      <c r="IG19" s="298"/>
      <c r="IH19" s="298"/>
      <c r="II19" s="298"/>
      <c r="IJ19" s="298"/>
      <c r="IK19" s="298"/>
      <c r="IL19" s="298"/>
      <c r="IM19" s="298"/>
      <c r="IN19" s="298"/>
      <c r="IO19" s="298"/>
      <c r="IP19" s="298"/>
      <c r="IQ19" s="298"/>
      <c r="IR19" s="298"/>
      <c r="IS19" s="298"/>
      <c r="IT19" s="298"/>
      <c r="IU19" s="298"/>
      <c r="IV19" s="298"/>
    </row>
    <row r="20" spans="1:256" ht="21.75" customHeight="1">
      <c r="A20" s="301" t="s">
        <v>555</v>
      </c>
      <c r="B20" s="302">
        <v>-7434.81</v>
      </c>
      <c r="C20" s="296"/>
      <c r="D20" s="297"/>
      <c r="E20" s="297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298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298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8"/>
      <c r="FM20" s="298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298"/>
      <c r="FY20" s="298"/>
      <c r="FZ20" s="298"/>
      <c r="GA20" s="298"/>
      <c r="GB20" s="298"/>
      <c r="GC20" s="298"/>
      <c r="GD20" s="298"/>
      <c r="GE20" s="298"/>
      <c r="GF20" s="298"/>
      <c r="GG20" s="298"/>
      <c r="GH20" s="298"/>
      <c r="GI20" s="298"/>
      <c r="GJ20" s="298"/>
      <c r="GK20" s="298"/>
      <c r="GL20" s="298"/>
      <c r="GM20" s="298"/>
      <c r="GN20" s="298"/>
      <c r="GO20" s="298"/>
      <c r="GP20" s="298"/>
      <c r="GQ20" s="298"/>
      <c r="GR20" s="298"/>
      <c r="GS20" s="298"/>
      <c r="GT20" s="298"/>
      <c r="GU20" s="298"/>
      <c r="GV20" s="298"/>
      <c r="GW20" s="298"/>
      <c r="GX20" s="298"/>
      <c r="GY20" s="298"/>
      <c r="GZ20" s="298"/>
      <c r="HA20" s="298"/>
      <c r="HB20" s="298"/>
      <c r="HC20" s="298"/>
      <c r="HD20" s="298"/>
      <c r="HE20" s="298"/>
      <c r="HF20" s="298"/>
      <c r="HG20" s="298"/>
      <c r="HH20" s="298"/>
      <c r="HI20" s="298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298"/>
      <c r="HV20" s="298"/>
      <c r="HW20" s="298"/>
      <c r="HX20" s="298"/>
      <c r="HY20" s="298"/>
      <c r="HZ20" s="298"/>
      <c r="IA20" s="298"/>
      <c r="IB20" s="298"/>
      <c r="IC20" s="298"/>
      <c r="ID20" s="298"/>
      <c r="IE20" s="298"/>
      <c r="IF20" s="298"/>
      <c r="IG20" s="298"/>
      <c r="IH20" s="298"/>
      <c r="II20" s="298"/>
      <c r="IJ20" s="298"/>
      <c r="IK20" s="298"/>
      <c r="IL20" s="298"/>
      <c r="IM20" s="298"/>
      <c r="IN20" s="298"/>
      <c r="IO20" s="298"/>
      <c r="IP20" s="298"/>
      <c r="IQ20" s="298"/>
      <c r="IR20" s="298"/>
      <c r="IS20" s="298"/>
      <c r="IT20" s="298"/>
      <c r="IU20" s="298"/>
      <c r="IV20" s="298"/>
    </row>
    <row r="21" spans="1:256" ht="21.75" customHeight="1" thickBot="1">
      <c r="A21" s="301" t="s">
        <v>556</v>
      </c>
      <c r="B21" s="302">
        <v>-119446</v>
      </c>
      <c r="C21" s="296"/>
      <c r="D21" s="297"/>
      <c r="E21" s="297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8"/>
      <c r="EL21" s="298"/>
      <c r="EM21" s="298"/>
      <c r="EN21" s="298"/>
      <c r="EO21" s="298"/>
      <c r="EP21" s="298"/>
      <c r="EQ21" s="298"/>
      <c r="ER21" s="298"/>
      <c r="ES21" s="298"/>
      <c r="ET21" s="298"/>
      <c r="EU21" s="298"/>
      <c r="EV21" s="298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298"/>
      <c r="FI21" s="298"/>
      <c r="FJ21" s="298"/>
      <c r="FK21" s="298"/>
      <c r="FL21" s="298"/>
      <c r="FM21" s="298"/>
      <c r="FN21" s="298"/>
      <c r="FO21" s="298"/>
      <c r="FP21" s="298"/>
      <c r="FQ21" s="298"/>
      <c r="FR21" s="298"/>
      <c r="FS21" s="298"/>
      <c r="FT21" s="298"/>
      <c r="FU21" s="298"/>
      <c r="FV21" s="298"/>
      <c r="FW21" s="298"/>
      <c r="FX21" s="298"/>
      <c r="FY21" s="298"/>
      <c r="FZ21" s="298"/>
      <c r="GA21" s="298"/>
      <c r="GB21" s="298"/>
      <c r="GC21" s="298"/>
      <c r="GD21" s="298"/>
      <c r="GE21" s="298"/>
      <c r="GF21" s="298"/>
      <c r="GG21" s="298"/>
      <c r="GH21" s="298"/>
      <c r="GI21" s="298"/>
      <c r="GJ21" s="298"/>
      <c r="GK21" s="298"/>
      <c r="GL21" s="298"/>
      <c r="GM21" s="298"/>
      <c r="GN21" s="298"/>
      <c r="GO21" s="298"/>
      <c r="GP21" s="298"/>
      <c r="GQ21" s="298"/>
      <c r="GR21" s="298"/>
      <c r="GS21" s="298"/>
      <c r="GT21" s="298"/>
      <c r="GU21" s="298"/>
      <c r="GV21" s="298"/>
      <c r="GW21" s="298"/>
      <c r="GX21" s="298"/>
      <c r="GY21" s="298"/>
      <c r="GZ21" s="298"/>
      <c r="HA21" s="298"/>
      <c r="HB21" s="298"/>
      <c r="HC21" s="298"/>
      <c r="HD21" s="298"/>
      <c r="HE21" s="298"/>
      <c r="HF21" s="298"/>
      <c r="HG21" s="298"/>
      <c r="HH21" s="298"/>
      <c r="HI21" s="298"/>
      <c r="HJ21" s="298"/>
      <c r="HK21" s="298"/>
      <c r="HL21" s="298"/>
      <c r="HM21" s="298"/>
      <c r="HN21" s="298"/>
      <c r="HO21" s="298"/>
      <c r="HP21" s="298"/>
      <c r="HQ21" s="298"/>
      <c r="HR21" s="298"/>
      <c r="HS21" s="298"/>
      <c r="HT21" s="298"/>
      <c r="HU21" s="298"/>
      <c r="HV21" s="298"/>
      <c r="HW21" s="298"/>
      <c r="HX21" s="298"/>
      <c r="HY21" s="298"/>
      <c r="HZ21" s="298"/>
      <c r="IA21" s="298"/>
      <c r="IB21" s="298"/>
      <c r="IC21" s="298"/>
      <c r="ID21" s="298"/>
      <c r="IE21" s="298"/>
      <c r="IF21" s="298"/>
      <c r="IG21" s="298"/>
      <c r="IH21" s="298"/>
      <c r="II21" s="298"/>
      <c r="IJ21" s="298"/>
      <c r="IK21" s="298"/>
      <c r="IL21" s="298"/>
      <c r="IM21" s="298"/>
      <c r="IN21" s="298"/>
      <c r="IO21" s="298"/>
      <c r="IP21" s="298"/>
      <c r="IQ21" s="298"/>
      <c r="IR21" s="298"/>
      <c r="IS21" s="298"/>
      <c r="IT21" s="298"/>
      <c r="IU21" s="298"/>
      <c r="IV21" s="298"/>
    </row>
    <row r="22" spans="1:256" ht="21.75" customHeight="1" thickBot="1" thickTop="1">
      <c r="A22" s="340" t="s">
        <v>280</v>
      </c>
      <c r="B22" s="341">
        <f>SUM(B11:B21)</f>
        <v>-11208553.450000001</v>
      </c>
      <c r="C22" s="296"/>
      <c r="D22" s="297"/>
      <c r="E22" s="297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8"/>
      <c r="EL22" s="298"/>
      <c r="EM22" s="298"/>
      <c r="EN22" s="298"/>
      <c r="EO22" s="298"/>
      <c r="EP22" s="298"/>
      <c r="EQ22" s="298"/>
      <c r="ER22" s="298"/>
      <c r="ES22" s="29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8"/>
      <c r="FP22" s="298"/>
      <c r="FQ22" s="298"/>
      <c r="FR22" s="298"/>
      <c r="FS22" s="298"/>
      <c r="FT22" s="298"/>
      <c r="FU22" s="298"/>
      <c r="FV22" s="298"/>
      <c r="FW22" s="298"/>
      <c r="FX22" s="298"/>
      <c r="FY22" s="298"/>
      <c r="FZ22" s="298"/>
      <c r="GA22" s="298"/>
      <c r="GB22" s="298"/>
      <c r="GC22" s="298"/>
      <c r="GD22" s="298"/>
      <c r="GE22" s="298"/>
      <c r="GF22" s="298"/>
      <c r="GG22" s="298"/>
      <c r="GH22" s="298"/>
      <c r="GI22" s="298"/>
      <c r="GJ22" s="298"/>
      <c r="GK22" s="298"/>
      <c r="GL22" s="298"/>
      <c r="GM22" s="298"/>
      <c r="GN22" s="298"/>
      <c r="GO22" s="298"/>
      <c r="GP22" s="298"/>
      <c r="GQ22" s="298"/>
      <c r="GR22" s="298"/>
      <c r="GS22" s="298"/>
      <c r="GT22" s="298"/>
      <c r="GU22" s="298"/>
      <c r="GV22" s="298"/>
      <c r="GW22" s="298"/>
      <c r="GX22" s="298"/>
      <c r="GY22" s="298"/>
      <c r="GZ22" s="298"/>
      <c r="HA22" s="298"/>
      <c r="HB22" s="298"/>
      <c r="HC22" s="298"/>
      <c r="HD22" s="298"/>
      <c r="HE22" s="298"/>
      <c r="HF22" s="298"/>
      <c r="HG22" s="298"/>
      <c r="HH22" s="298"/>
      <c r="HI22" s="298"/>
      <c r="HJ22" s="298"/>
      <c r="HK22" s="298"/>
      <c r="HL22" s="298"/>
      <c r="HM22" s="298"/>
      <c r="HN22" s="298"/>
      <c r="HO22" s="298"/>
      <c r="HP22" s="298"/>
      <c r="HQ22" s="298"/>
      <c r="HR22" s="298"/>
      <c r="HS22" s="298"/>
      <c r="HT22" s="298"/>
      <c r="HU22" s="298"/>
      <c r="HV22" s="298"/>
      <c r="HW22" s="298"/>
      <c r="HX22" s="298"/>
      <c r="HY22" s="298"/>
      <c r="HZ22" s="298"/>
      <c r="IA22" s="298"/>
      <c r="IB22" s="298"/>
      <c r="IC22" s="298"/>
      <c r="ID22" s="298"/>
      <c r="IE22" s="298"/>
      <c r="IF22" s="298"/>
      <c r="IG22" s="298"/>
      <c r="IH22" s="298"/>
      <c r="II22" s="298"/>
      <c r="IJ22" s="298"/>
      <c r="IK22" s="298"/>
      <c r="IL22" s="298"/>
      <c r="IM22" s="298"/>
      <c r="IN22" s="298"/>
      <c r="IO22" s="298"/>
      <c r="IP22" s="298"/>
      <c r="IQ22" s="298"/>
      <c r="IR22" s="298"/>
      <c r="IS22" s="298"/>
      <c r="IT22" s="298"/>
      <c r="IU22" s="298"/>
      <c r="IV22" s="298"/>
    </row>
    <row r="23" spans="1:256" ht="28.5" customHeight="1" thickBot="1" thickTop="1">
      <c r="A23" s="303" t="s">
        <v>288</v>
      </c>
      <c r="B23" s="347">
        <f>B9+B22</f>
        <v>-11363984.750000002</v>
      </c>
      <c r="C23" s="312"/>
      <c r="D23" s="297"/>
      <c r="E23" s="297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298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298"/>
      <c r="FK23" s="298"/>
      <c r="FL23" s="298"/>
      <c r="FM23" s="298"/>
      <c r="FN23" s="298"/>
      <c r="FO23" s="298"/>
      <c r="FP23" s="298"/>
      <c r="FQ23" s="298"/>
      <c r="FR23" s="298"/>
      <c r="FS23" s="298"/>
      <c r="FT23" s="298"/>
      <c r="FU23" s="298"/>
      <c r="FV23" s="298"/>
      <c r="FW23" s="298"/>
      <c r="FX23" s="298"/>
      <c r="FY23" s="298"/>
      <c r="FZ23" s="298"/>
      <c r="GA23" s="298"/>
      <c r="GB23" s="298"/>
      <c r="GC23" s="298"/>
      <c r="GD23" s="298"/>
      <c r="GE23" s="298"/>
      <c r="GF23" s="298"/>
      <c r="GG23" s="298"/>
      <c r="GH23" s="298"/>
      <c r="GI23" s="298"/>
      <c r="GJ23" s="298"/>
      <c r="GK23" s="298"/>
      <c r="GL23" s="298"/>
      <c r="GM23" s="298"/>
      <c r="GN23" s="298"/>
      <c r="GO23" s="298"/>
      <c r="GP23" s="298"/>
      <c r="GQ23" s="298"/>
      <c r="GR23" s="298"/>
      <c r="GS23" s="298"/>
      <c r="GT23" s="298"/>
      <c r="GU23" s="298"/>
      <c r="GV23" s="298"/>
      <c r="GW23" s="298"/>
      <c r="GX23" s="298"/>
      <c r="GY23" s="298"/>
      <c r="GZ23" s="298"/>
      <c r="HA23" s="298"/>
      <c r="HB23" s="298"/>
      <c r="HC23" s="298"/>
      <c r="HD23" s="298"/>
      <c r="HE23" s="298"/>
      <c r="HF23" s="298"/>
      <c r="HG23" s="298"/>
      <c r="HH23" s="298"/>
      <c r="HI23" s="298"/>
      <c r="HJ23" s="298"/>
      <c r="HK23" s="298"/>
      <c r="HL23" s="298"/>
      <c r="HM23" s="298"/>
      <c r="HN23" s="298"/>
      <c r="HO23" s="298"/>
      <c r="HP23" s="298"/>
      <c r="HQ23" s="298"/>
      <c r="HR23" s="298"/>
      <c r="HS23" s="298"/>
      <c r="HT23" s="298"/>
      <c r="HU23" s="298"/>
      <c r="HV23" s="298"/>
      <c r="HW23" s="298"/>
      <c r="HX23" s="298"/>
      <c r="HY23" s="298"/>
      <c r="HZ23" s="298"/>
      <c r="IA23" s="298"/>
      <c r="IB23" s="298"/>
      <c r="IC23" s="298"/>
      <c r="ID23" s="298"/>
      <c r="IE23" s="298"/>
      <c r="IF23" s="298"/>
      <c r="IG23" s="298"/>
      <c r="IH23" s="298"/>
      <c r="II23" s="298"/>
      <c r="IJ23" s="298"/>
      <c r="IK23" s="298"/>
      <c r="IL23" s="298"/>
      <c r="IM23" s="298"/>
      <c r="IN23" s="298"/>
      <c r="IO23" s="298"/>
      <c r="IP23" s="298"/>
      <c r="IQ23" s="298"/>
      <c r="IR23" s="298"/>
      <c r="IS23" s="298"/>
      <c r="IT23" s="298"/>
      <c r="IU23" s="298"/>
      <c r="IV23" s="298"/>
    </row>
    <row r="24" spans="1:256" ht="21.75" customHeight="1">
      <c r="A24" s="1651" t="s">
        <v>287</v>
      </c>
      <c r="B24" s="1652"/>
      <c r="C24" s="296"/>
      <c r="D24" s="297"/>
      <c r="E24" s="297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8"/>
      <c r="EE24" s="298"/>
      <c r="EF24" s="298"/>
      <c r="EG24" s="298"/>
      <c r="EH24" s="298"/>
      <c r="EI24" s="298"/>
      <c r="EJ24" s="298"/>
      <c r="EK24" s="298"/>
      <c r="EL24" s="298"/>
      <c r="EM24" s="298"/>
      <c r="EN24" s="298"/>
      <c r="EO24" s="298"/>
      <c r="EP24" s="298"/>
      <c r="EQ24" s="298"/>
      <c r="ER24" s="298"/>
      <c r="ES24" s="298"/>
      <c r="ET24" s="298"/>
      <c r="EU24" s="298"/>
      <c r="EV24" s="298"/>
      <c r="EW24" s="298"/>
      <c r="EX24" s="298"/>
      <c r="EY24" s="298"/>
      <c r="EZ24" s="298"/>
      <c r="FA24" s="298"/>
      <c r="FB24" s="298"/>
      <c r="FC24" s="298"/>
      <c r="FD24" s="298"/>
      <c r="FE24" s="298"/>
      <c r="FF24" s="298"/>
      <c r="FG24" s="298"/>
      <c r="FH24" s="298"/>
      <c r="FI24" s="298"/>
      <c r="FJ24" s="298"/>
      <c r="FK24" s="298"/>
      <c r="FL24" s="298"/>
      <c r="FM24" s="298"/>
      <c r="FN24" s="298"/>
      <c r="FO24" s="298"/>
      <c r="FP24" s="298"/>
      <c r="FQ24" s="298"/>
      <c r="FR24" s="298"/>
      <c r="FS24" s="298"/>
      <c r="FT24" s="298"/>
      <c r="FU24" s="298"/>
      <c r="FV24" s="298"/>
      <c r="FW24" s="298"/>
      <c r="FX24" s="298"/>
      <c r="FY24" s="298"/>
      <c r="FZ24" s="298"/>
      <c r="GA24" s="298"/>
      <c r="GB24" s="298"/>
      <c r="GC24" s="298"/>
      <c r="GD24" s="298"/>
      <c r="GE24" s="298"/>
      <c r="GF24" s="298"/>
      <c r="GG24" s="298"/>
      <c r="GH24" s="298"/>
      <c r="GI24" s="298"/>
      <c r="GJ24" s="298"/>
      <c r="GK24" s="298"/>
      <c r="GL24" s="298"/>
      <c r="GM24" s="298"/>
      <c r="GN24" s="298"/>
      <c r="GO24" s="298"/>
      <c r="GP24" s="298"/>
      <c r="GQ24" s="298"/>
      <c r="GR24" s="298"/>
      <c r="GS24" s="298"/>
      <c r="GT24" s="298"/>
      <c r="GU24" s="298"/>
      <c r="GV24" s="298"/>
      <c r="GW24" s="298"/>
      <c r="GX24" s="298"/>
      <c r="GY24" s="298"/>
      <c r="GZ24" s="298"/>
      <c r="HA24" s="298"/>
      <c r="HB24" s="298"/>
      <c r="HC24" s="298"/>
      <c r="HD24" s="298"/>
      <c r="HE24" s="298"/>
      <c r="HF24" s="298"/>
      <c r="HG24" s="298"/>
      <c r="HH24" s="298"/>
      <c r="HI24" s="298"/>
      <c r="HJ24" s="298"/>
      <c r="HK24" s="298"/>
      <c r="HL24" s="298"/>
      <c r="HM24" s="298"/>
      <c r="HN24" s="298"/>
      <c r="HO24" s="298"/>
      <c r="HP24" s="298"/>
      <c r="HQ24" s="298"/>
      <c r="HR24" s="298"/>
      <c r="HS24" s="298"/>
      <c r="HT24" s="298"/>
      <c r="HU24" s="298"/>
      <c r="HV24" s="298"/>
      <c r="HW24" s="298"/>
      <c r="HX24" s="298"/>
      <c r="HY24" s="298"/>
      <c r="HZ24" s="298"/>
      <c r="IA24" s="298"/>
      <c r="IB24" s="298"/>
      <c r="IC24" s="298"/>
      <c r="ID24" s="298"/>
      <c r="IE24" s="298"/>
      <c r="IF24" s="298"/>
      <c r="IG24" s="298"/>
      <c r="IH24" s="298"/>
      <c r="II24" s="298"/>
      <c r="IJ24" s="298"/>
      <c r="IK24" s="298"/>
      <c r="IL24" s="298"/>
      <c r="IM24" s="298"/>
      <c r="IN24" s="298"/>
      <c r="IO24" s="298"/>
      <c r="IP24" s="298"/>
      <c r="IQ24" s="298"/>
      <c r="IR24" s="298"/>
      <c r="IS24" s="298"/>
      <c r="IT24" s="298"/>
      <c r="IU24" s="298"/>
      <c r="IV24" s="298"/>
    </row>
    <row r="25" spans="1:256" ht="21.75" customHeight="1">
      <c r="A25" s="336" t="s">
        <v>289</v>
      </c>
      <c r="B25" s="300"/>
      <c r="C25" s="296"/>
      <c r="D25" s="297"/>
      <c r="E25" s="297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8"/>
      <c r="ED25" s="298"/>
      <c r="EE25" s="298"/>
      <c r="EF25" s="298"/>
      <c r="EG25" s="298"/>
      <c r="EH25" s="298"/>
      <c r="EI25" s="298"/>
      <c r="EJ25" s="298"/>
      <c r="EK25" s="298"/>
      <c r="EL25" s="298"/>
      <c r="EM25" s="298"/>
      <c r="EN25" s="298"/>
      <c r="EO25" s="298"/>
      <c r="EP25" s="298"/>
      <c r="EQ25" s="298"/>
      <c r="ER25" s="298"/>
      <c r="ES25" s="298"/>
      <c r="ET25" s="298"/>
      <c r="EU25" s="298"/>
      <c r="EV25" s="298"/>
      <c r="EW25" s="298"/>
      <c r="EX25" s="298"/>
      <c r="EY25" s="298"/>
      <c r="EZ25" s="298"/>
      <c r="FA25" s="298"/>
      <c r="FB25" s="298"/>
      <c r="FC25" s="298"/>
      <c r="FD25" s="298"/>
      <c r="FE25" s="298"/>
      <c r="FF25" s="298"/>
      <c r="FG25" s="298"/>
      <c r="FH25" s="298"/>
      <c r="FI25" s="298"/>
      <c r="FJ25" s="298"/>
      <c r="FK25" s="298"/>
      <c r="FL25" s="298"/>
      <c r="FM25" s="298"/>
      <c r="FN25" s="298"/>
      <c r="FO25" s="298"/>
      <c r="FP25" s="298"/>
      <c r="FQ25" s="298"/>
      <c r="FR25" s="298"/>
      <c r="FS25" s="298"/>
      <c r="FT25" s="298"/>
      <c r="FU25" s="298"/>
      <c r="FV25" s="298"/>
      <c r="FW25" s="298"/>
      <c r="FX25" s="298"/>
      <c r="FY25" s="298"/>
      <c r="FZ25" s="298"/>
      <c r="GA25" s="298"/>
      <c r="GB25" s="298"/>
      <c r="GC25" s="298"/>
      <c r="GD25" s="298"/>
      <c r="GE25" s="298"/>
      <c r="GF25" s="298"/>
      <c r="GG25" s="298"/>
      <c r="GH25" s="298"/>
      <c r="GI25" s="298"/>
      <c r="GJ25" s="298"/>
      <c r="GK25" s="298"/>
      <c r="GL25" s="298"/>
      <c r="GM25" s="298"/>
      <c r="GN25" s="298"/>
      <c r="GO25" s="298"/>
      <c r="GP25" s="298"/>
      <c r="GQ25" s="298"/>
      <c r="GR25" s="298"/>
      <c r="GS25" s="298"/>
      <c r="GT25" s="298"/>
      <c r="GU25" s="298"/>
      <c r="GV25" s="298"/>
      <c r="GW25" s="298"/>
      <c r="GX25" s="298"/>
      <c r="GY25" s="298"/>
      <c r="GZ25" s="298"/>
      <c r="HA25" s="298"/>
      <c r="HB25" s="298"/>
      <c r="HC25" s="298"/>
      <c r="HD25" s="298"/>
      <c r="HE25" s="298"/>
      <c r="HF25" s="298"/>
      <c r="HG25" s="298"/>
      <c r="HH25" s="298"/>
      <c r="HI25" s="298"/>
      <c r="HJ25" s="298"/>
      <c r="HK25" s="298"/>
      <c r="HL25" s="298"/>
      <c r="HM25" s="298"/>
      <c r="HN25" s="298"/>
      <c r="HO25" s="298"/>
      <c r="HP25" s="298"/>
      <c r="HQ25" s="298"/>
      <c r="HR25" s="298"/>
      <c r="HS25" s="298"/>
      <c r="HT25" s="298"/>
      <c r="HU25" s="298"/>
      <c r="HV25" s="298"/>
      <c r="HW25" s="298"/>
      <c r="HX25" s="298"/>
      <c r="HY25" s="298"/>
      <c r="HZ25" s="298"/>
      <c r="IA25" s="298"/>
      <c r="IB25" s="298"/>
      <c r="IC25" s="298"/>
      <c r="ID25" s="298"/>
      <c r="IE25" s="298"/>
      <c r="IF25" s="298"/>
      <c r="IG25" s="298"/>
      <c r="IH25" s="298"/>
      <c r="II25" s="298"/>
      <c r="IJ25" s="298"/>
      <c r="IK25" s="298"/>
      <c r="IL25" s="298"/>
      <c r="IM25" s="298"/>
      <c r="IN25" s="298"/>
      <c r="IO25" s="298"/>
      <c r="IP25" s="298"/>
      <c r="IQ25" s="298"/>
      <c r="IR25" s="298"/>
      <c r="IS25" s="298"/>
      <c r="IT25" s="298"/>
      <c r="IU25" s="298"/>
      <c r="IV25" s="298"/>
    </row>
    <row r="26" spans="1:256" ht="21.75" customHeight="1">
      <c r="A26" s="350" t="s">
        <v>557</v>
      </c>
      <c r="B26" s="300">
        <v>462601.15</v>
      </c>
      <c r="C26" s="296"/>
      <c r="D26" s="297"/>
      <c r="E26" s="297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8"/>
      <c r="EL26" s="298"/>
      <c r="EM26" s="298"/>
      <c r="EN26" s="298"/>
      <c r="EO26" s="298"/>
      <c r="EP26" s="298"/>
      <c r="EQ26" s="298"/>
      <c r="ER26" s="298"/>
      <c r="ES26" s="298"/>
      <c r="ET26" s="298"/>
      <c r="EU26" s="298"/>
      <c r="EV26" s="298"/>
      <c r="EW26" s="298"/>
      <c r="EX26" s="298"/>
      <c r="EY26" s="298"/>
      <c r="EZ26" s="298"/>
      <c r="FA26" s="298"/>
      <c r="FB26" s="298"/>
      <c r="FC26" s="298"/>
      <c r="FD26" s="298"/>
      <c r="FE26" s="298"/>
      <c r="FF26" s="298"/>
      <c r="FG26" s="298"/>
      <c r="FH26" s="298"/>
      <c r="FI26" s="298"/>
      <c r="FJ26" s="298"/>
      <c r="FK26" s="298"/>
      <c r="FL26" s="298"/>
      <c r="FM26" s="298"/>
      <c r="FN26" s="298"/>
      <c r="FO26" s="298"/>
      <c r="FP26" s="298"/>
      <c r="FQ26" s="298"/>
      <c r="FR26" s="298"/>
      <c r="FS26" s="298"/>
      <c r="FT26" s="298"/>
      <c r="FU26" s="298"/>
      <c r="FV26" s="298"/>
      <c r="FW26" s="298"/>
      <c r="FX26" s="298"/>
      <c r="FY26" s="298"/>
      <c r="FZ26" s="298"/>
      <c r="GA26" s="298"/>
      <c r="GB26" s="298"/>
      <c r="GC26" s="298"/>
      <c r="GD26" s="298"/>
      <c r="GE26" s="298"/>
      <c r="GF26" s="298"/>
      <c r="GG26" s="298"/>
      <c r="GH26" s="298"/>
      <c r="GI26" s="298"/>
      <c r="GJ26" s="298"/>
      <c r="GK26" s="298"/>
      <c r="GL26" s="298"/>
      <c r="GM26" s="298"/>
      <c r="GN26" s="298"/>
      <c r="GO26" s="298"/>
      <c r="GP26" s="298"/>
      <c r="GQ26" s="298"/>
      <c r="GR26" s="298"/>
      <c r="GS26" s="298"/>
      <c r="GT26" s="298"/>
      <c r="GU26" s="298"/>
      <c r="GV26" s="298"/>
      <c r="GW26" s="298"/>
      <c r="GX26" s="298"/>
      <c r="GY26" s="298"/>
      <c r="GZ26" s="298"/>
      <c r="HA26" s="298"/>
      <c r="HB26" s="298"/>
      <c r="HC26" s="298"/>
      <c r="HD26" s="298"/>
      <c r="HE26" s="298"/>
      <c r="HF26" s="298"/>
      <c r="HG26" s="298"/>
      <c r="HH26" s="298"/>
      <c r="HI26" s="298"/>
      <c r="HJ26" s="298"/>
      <c r="HK26" s="298"/>
      <c r="HL26" s="298"/>
      <c r="HM26" s="298"/>
      <c r="HN26" s="298"/>
      <c r="HO26" s="298"/>
      <c r="HP26" s="298"/>
      <c r="HQ26" s="298"/>
      <c r="HR26" s="298"/>
      <c r="HS26" s="298"/>
      <c r="HT26" s="298"/>
      <c r="HU26" s="298"/>
      <c r="HV26" s="298"/>
      <c r="HW26" s="298"/>
      <c r="HX26" s="298"/>
      <c r="HY26" s="298"/>
      <c r="HZ26" s="298"/>
      <c r="IA26" s="298"/>
      <c r="IB26" s="298"/>
      <c r="IC26" s="298"/>
      <c r="ID26" s="298"/>
      <c r="IE26" s="298"/>
      <c r="IF26" s="298"/>
      <c r="IG26" s="298"/>
      <c r="IH26" s="298"/>
      <c r="II26" s="298"/>
      <c r="IJ26" s="298"/>
      <c r="IK26" s="298"/>
      <c r="IL26" s="298"/>
      <c r="IM26" s="298"/>
      <c r="IN26" s="298"/>
      <c r="IO26" s="298"/>
      <c r="IP26" s="298"/>
      <c r="IQ26" s="298"/>
      <c r="IR26" s="298"/>
      <c r="IS26" s="298"/>
      <c r="IT26" s="298"/>
      <c r="IU26" s="298"/>
      <c r="IV26" s="298"/>
    </row>
    <row r="27" spans="1:256" ht="21.75" customHeight="1" thickBot="1">
      <c r="A27" s="337" t="s">
        <v>558</v>
      </c>
      <c r="B27" s="338">
        <v>236977.58</v>
      </c>
      <c r="C27" s="296"/>
      <c r="D27" s="297"/>
      <c r="E27" s="297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DW27" s="298"/>
      <c r="DX27" s="298"/>
      <c r="DY27" s="298"/>
      <c r="DZ27" s="298"/>
      <c r="EA27" s="298"/>
      <c r="EB27" s="298"/>
      <c r="EC27" s="298"/>
      <c r="ED27" s="298"/>
      <c r="EE27" s="298"/>
      <c r="EF27" s="298"/>
      <c r="EG27" s="298"/>
      <c r="EH27" s="298"/>
      <c r="EI27" s="298"/>
      <c r="EJ27" s="298"/>
      <c r="EK27" s="298"/>
      <c r="EL27" s="298"/>
      <c r="EM27" s="298"/>
      <c r="EN27" s="298"/>
      <c r="EO27" s="298"/>
      <c r="EP27" s="298"/>
      <c r="EQ27" s="298"/>
      <c r="ER27" s="298"/>
      <c r="ES27" s="298"/>
      <c r="ET27" s="298"/>
      <c r="EU27" s="298"/>
      <c r="EV27" s="298"/>
      <c r="EW27" s="298"/>
      <c r="EX27" s="298"/>
      <c r="EY27" s="298"/>
      <c r="EZ27" s="298"/>
      <c r="FA27" s="298"/>
      <c r="FB27" s="298"/>
      <c r="FC27" s="298"/>
      <c r="FD27" s="298"/>
      <c r="FE27" s="298"/>
      <c r="FF27" s="298"/>
      <c r="FG27" s="298"/>
      <c r="FH27" s="298"/>
      <c r="FI27" s="298"/>
      <c r="FJ27" s="298"/>
      <c r="FK27" s="298"/>
      <c r="FL27" s="298"/>
      <c r="FM27" s="298"/>
      <c r="FN27" s="298"/>
      <c r="FO27" s="298"/>
      <c r="FP27" s="298"/>
      <c r="FQ27" s="298"/>
      <c r="FR27" s="298"/>
      <c r="FS27" s="298"/>
      <c r="FT27" s="298"/>
      <c r="FU27" s="298"/>
      <c r="FV27" s="298"/>
      <c r="FW27" s="298"/>
      <c r="FX27" s="298"/>
      <c r="FY27" s="298"/>
      <c r="FZ27" s="298"/>
      <c r="GA27" s="298"/>
      <c r="GB27" s="298"/>
      <c r="GC27" s="298"/>
      <c r="GD27" s="298"/>
      <c r="GE27" s="298"/>
      <c r="GF27" s="298"/>
      <c r="GG27" s="298"/>
      <c r="GH27" s="298"/>
      <c r="GI27" s="298"/>
      <c r="GJ27" s="298"/>
      <c r="GK27" s="298"/>
      <c r="GL27" s="298"/>
      <c r="GM27" s="298"/>
      <c r="GN27" s="298"/>
      <c r="GO27" s="298"/>
      <c r="GP27" s="298"/>
      <c r="GQ27" s="298"/>
      <c r="GR27" s="298"/>
      <c r="GS27" s="298"/>
      <c r="GT27" s="298"/>
      <c r="GU27" s="298"/>
      <c r="GV27" s="298"/>
      <c r="GW27" s="298"/>
      <c r="GX27" s="298"/>
      <c r="GY27" s="298"/>
      <c r="GZ27" s="298"/>
      <c r="HA27" s="298"/>
      <c r="HB27" s="298"/>
      <c r="HC27" s="298"/>
      <c r="HD27" s="298"/>
      <c r="HE27" s="298"/>
      <c r="HF27" s="298"/>
      <c r="HG27" s="298"/>
      <c r="HH27" s="298"/>
      <c r="HI27" s="298"/>
      <c r="HJ27" s="298"/>
      <c r="HK27" s="298"/>
      <c r="HL27" s="298"/>
      <c r="HM27" s="298"/>
      <c r="HN27" s="298"/>
      <c r="HO27" s="298"/>
      <c r="HP27" s="298"/>
      <c r="HQ27" s="298"/>
      <c r="HR27" s="298"/>
      <c r="HS27" s="298"/>
      <c r="HT27" s="298"/>
      <c r="HU27" s="298"/>
      <c r="HV27" s="298"/>
      <c r="HW27" s="298"/>
      <c r="HX27" s="298"/>
      <c r="HY27" s="298"/>
      <c r="HZ27" s="298"/>
      <c r="IA27" s="298"/>
      <c r="IB27" s="298"/>
      <c r="IC27" s="298"/>
      <c r="ID27" s="298"/>
      <c r="IE27" s="298"/>
      <c r="IF27" s="298"/>
      <c r="IG27" s="298"/>
      <c r="IH27" s="298"/>
      <c r="II27" s="298"/>
      <c r="IJ27" s="298"/>
      <c r="IK27" s="298"/>
      <c r="IL27" s="298"/>
      <c r="IM27" s="298"/>
      <c r="IN27" s="298"/>
      <c r="IO27" s="298"/>
      <c r="IP27" s="298"/>
      <c r="IQ27" s="298"/>
      <c r="IR27" s="298"/>
      <c r="IS27" s="298"/>
      <c r="IT27" s="298"/>
      <c r="IU27" s="298"/>
      <c r="IV27" s="298"/>
    </row>
    <row r="28" spans="1:256" ht="27.75" customHeight="1" thickBot="1" thickTop="1">
      <c r="A28" s="303" t="s">
        <v>290</v>
      </c>
      <c r="B28" s="347">
        <f>SUM(B25:B27)</f>
        <v>699578.73</v>
      </c>
      <c r="C28" s="296"/>
      <c r="D28" s="297"/>
      <c r="E28" s="297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8"/>
      <c r="EQ28" s="298"/>
      <c r="ER28" s="298"/>
      <c r="ES28" s="298"/>
      <c r="ET28" s="298"/>
      <c r="EU28" s="298"/>
      <c r="EV28" s="298"/>
      <c r="EW28" s="298"/>
      <c r="EX28" s="298"/>
      <c r="EY28" s="298"/>
      <c r="EZ28" s="298"/>
      <c r="FA28" s="298"/>
      <c r="FB28" s="298"/>
      <c r="FC28" s="298"/>
      <c r="FD28" s="298"/>
      <c r="FE28" s="298"/>
      <c r="FF28" s="298"/>
      <c r="FG28" s="298"/>
      <c r="FH28" s="298"/>
      <c r="FI28" s="298"/>
      <c r="FJ28" s="298"/>
      <c r="FK28" s="298"/>
      <c r="FL28" s="298"/>
      <c r="FM28" s="298"/>
      <c r="FN28" s="298"/>
      <c r="FO28" s="298"/>
      <c r="FP28" s="298"/>
      <c r="FQ28" s="298"/>
      <c r="FR28" s="298"/>
      <c r="FS28" s="298"/>
      <c r="FT28" s="298"/>
      <c r="FU28" s="298"/>
      <c r="FV28" s="298"/>
      <c r="FW28" s="298"/>
      <c r="FX28" s="298"/>
      <c r="FY28" s="298"/>
      <c r="FZ28" s="298"/>
      <c r="GA28" s="298"/>
      <c r="GB28" s="298"/>
      <c r="GC28" s="298"/>
      <c r="GD28" s="298"/>
      <c r="GE28" s="298"/>
      <c r="GF28" s="298"/>
      <c r="GG28" s="298"/>
      <c r="GH28" s="298"/>
      <c r="GI28" s="298"/>
      <c r="GJ28" s="298"/>
      <c r="GK28" s="298"/>
      <c r="GL28" s="298"/>
      <c r="GM28" s="298"/>
      <c r="GN28" s="298"/>
      <c r="GO28" s="298"/>
      <c r="GP28" s="298"/>
      <c r="GQ28" s="298"/>
      <c r="GR28" s="298"/>
      <c r="GS28" s="298"/>
      <c r="GT28" s="298"/>
      <c r="GU28" s="298"/>
      <c r="GV28" s="298"/>
      <c r="GW28" s="298"/>
      <c r="GX28" s="298"/>
      <c r="GY28" s="298"/>
      <c r="GZ28" s="298"/>
      <c r="HA28" s="298"/>
      <c r="HB28" s="298"/>
      <c r="HC28" s="298"/>
      <c r="HD28" s="298"/>
      <c r="HE28" s="298"/>
      <c r="HF28" s="298"/>
      <c r="HG28" s="298"/>
      <c r="HH28" s="298"/>
      <c r="HI28" s="298"/>
      <c r="HJ28" s="298"/>
      <c r="HK28" s="298"/>
      <c r="HL28" s="298"/>
      <c r="HM28" s="298"/>
      <c r="HN28" s="298"/>
      <c r="HO28" s="298"/>
      <c r="HP28" s="298"/>
      <c r="HQ28" s="298"/>
      <c r="HR28" s="298"/>
      <c r="HS28" s="298"/>
      <c r="HT28" s="298"/>
      <c r="HU28" s="298"/>
      <c r="HV28" s="298"/>
      <c r="HW28" s="298"/>
      <c r="HX28" s="298"/>
      <c r="HY28" s="298"/>
      <c r="HZ28" s="298"/>
      <c r="IA28" s="298"/>
      <c r="IB28" s="298"/>
      <c r="IC28" s="298"/>
      <c r="ID28" s="298"/>
      <c r="IE28" s="298"/>
      <c r="IF28" s="298"/>
      <c r="IG28" s="298"/>
      <c r="IH28" s="298"/>
      <c r="II28" s="298"/>
      <c r="IJ28" s="298"/>
      <c r="IK28" s="298"/>
      <c r="IL28" s="298"/>
      <c r="IM28" s="298"/>
      <c r="IN28" s="298"/>
      <c r="IO28" s="298"/>
      <c r="IP28" s="298"/>
      <c r="IQ28" s="298"/>
      <c r="IR28" s="298"/>
      <c r="IS28" s="298"/>
      <c r="IT28" s="298"/>
      <c r="IU28" s="298"/>
      <c r="IV28" s="298"/>
    </row>
    <row r="29" spans="1:256" ht="27.75" customHeight="1">
      <c r="A29" s="1643" t="s">
        <v>291</v>
      </c>
      <c r="B29" s="1644"/>
      <c r="C29" s="304"/>
      <c r="D29" s="305"/>
      <c r="E29" s="305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  <c r="DB29" s="306"/>
      <c r="DC29" s="306"/>
      <c r="DD29" s="306"/>
      <c r="DE29" s="306"/>
      <c r="DF29" s="306"/>
      <c r="DG29" s="306"/>
      <c r="DH29" s="306"/>
      <c r="DI29" s="306"/>
      <c r="DJ29" s="306"/>
      <c r="DK29" s="306"/>
      <c r="DL29" s="306"/>
      <c r="DM29" s="306"/>
      <c r="DN29" s="306"/>
      <c r="DO29" s="306"/>
      <c r="DP29" s="306"/>
      <c r="DQ29" s="306"/>
      <c r="DR29" s="306"/>
      <c r="DS29" s="306"/>
      <c r="DT29" s="306"/>
      <c r="DU29" s="306"/>
      <c r="DV29" s="306"/>
      <c r="DW29" s="306"/>
      <c r="DX29" s="306"/>
      <c r="DY29" s="306"/>
      <c r="DZ29" s="306"/>
      <c r="EA29" s="306"/>
      <c r="EB29" s="306"/>
      <c r="EC29" s="306"/>
      <c r="ED29" s="306"/>
      <c r="EE29" s="306"/>
      <c r="EF29" s="306"/>
      <c r="EG29" s="306"/>
      <c r="EH29" s="306"/>
      <c r="EI29" s="306"/>
      <c r="EJ29" s="306"/>
      <c r="EK29" s="306"/>
      <c r="EL29" s="306"/>
      <c r="EM29" s="306"/>
      <c r="EN29" s="306"/>
      <c r="EO29" s="306"/>
      <c r="EP29" s="306"/>
      <c r="EQ29" s="306"/>
      <c r="ER29" s="306"/>
      <c r="ES29" s="306"/>
      <c r="ET29" s="306"/>
      <c r="EU29" s="306"/>
      <c r="EV29" s="306"/>
      <c r="EW29" s="306"/>
      <c r="EX29" s="306"/>
      <c r="EY29" s="306"/>
      <c r="EZ29" s="306"/>
      <c r="FA29" s="306"/>
      <c r="FB29" s="306"/>
      <c r="FC29" s="306"/>
      <c r="FD29" s="306"/>
      <c r="FE29" s="306"/>
      <c r="FF29" s="306"/>
      <c r="FG29" s="306"/>
      <c r="FH29" s="306"/>
      <c r="FI29" s="306"/>
      <c r="FJ29" s="306"/>
      <c r="FK29" s="306"/>
      <c r="FL29" s="306"/>
      <c r="FM29" s="306"/>
      <c r="FN29" s="306"/>
      <c r="FO29" s="306"/>
      <c r="FP29" s="306"/>
      <c r="FQ29" s="306"/>
      <c r="FR29" s="306"/>
      <c r="FS29" s="306"/>
      <c r="FT29" s="306"/>
      <c r="FU29" s="306"/>
      <c r="FV29" s="306"/>
      <c r="FW29" s="306"/>
      <c r="FX29" s="306"/>
      <c r="FY29" s="306"/>
      <c r="FZ29" s="306"/>
      <c r="GA29" s="306"/>
      <c r="GB29" s="306"/>
      <c r="GC29" s="306"/>
      <c r="GD29" s="306"/>
      <c r="GE29" s="306"/>
      <c r="GF29" s="306"/>
      <c r="GG29" s="306"/>
      <c r="GH29" s="306"/>
      <c r="GI29" s="306"/>
      <c r="GJ29" s="306"/>
      <c r="GK29" s="306"/>
      <c r="GL29" s="306"/>
      <c r="GM29" s="306"/>
      <c r="GN29" s="306"/>
      <c r="GO29" s="306"/>
      <c r="GP29" s="306"/>
      <c r="GQ29" s="306"/>
      <c r="GR29" s="306"/>
      <c r="GS29" s="306"/>
      <c r="GT29" s="306"/>
      <c r="GU29" s="306"/>
      <c r="GV29" s="306"/>
      <c r="GW29" s="306"/>
      <c r="GX29" s="306"/>
      <c r="GY29" s="306"/>
      <c r="GZ29" s="306"/>
      <c r="HA29" s="306"/>
      <c r="HB29" s="306"/>
      <c r="HC29" s="306"/>
      <c r="HD29" s="306"/>
      <c r="HE29" s="306"/>
      <c r="HF29" s="306"/>
      <c r="HG29" s="306"/>
      <c r="HH29" s="306"/>
      <c r="HI29" s="306"/>
      <c r="HJ29" s="306"/>
      <c r="HK29" s="306"/>
      <c r="HL29" s="306"/>
      <c r="HM29" s="306"/>
      <c r="HN29" s="306"/>
      <c r="HO29" s="306"/>
      <c r="HP29" s="306"/>
      <c r="HQ29" s="306"/>
      <c r="HR29" s="306"/>
      <c r="HS29" s="306"/>
      <c r="HT29" s="306"/>
      <c r="HU29" s="306"/>
      <c r="HV29" s="306"/>
      <c r="HW29" s="306"/>
      <c r="HX29" s="306"/>
      <c r="HY29" s="306"/>
      <c r="HZ29" s="306"/>
      <c r="IA29" s="306"/>
      <c r="IB29" s="306"/>
      <c r="IC29" s="306"/>
      <c r="ID29" s="306"/>
      <c r="IE29" s="306"/>
      <c r="IF29" s="306"/>
      <c r="IG29" s="306"/>
      <c r="IH29" s="306"/>
      <c r="II29" s="306"/>
      <c r="IJ29" s="306"/>
      <c r="IK29" s="306"/>
      <c r="IL29" s="306"/>
      <c r="IM29" s="306"/>
      <c r="IN29" s="306"/>
      <c r="IO29" s="306"/>
      <c r="IP29" s="306"/>
      <c r="IQ29" s="306"/>
      <c r="IR29" s="306"/>
      <c r="IS29" s="306"/>
      <c r="IT29" s="306"/>
      <c r="IU29" s="306"/>
      <c r="IV29" s="306"/>
    </row>
    <row r="30" spans="1:256" ht="27.75" customHeight="1">
      <c r="A30" s="342" t="s">
        <v>292</v>
      </c>
      <c r="B30" s="308">
        <v>41459.72</v>
      </c>
      <c r="C30" s="304"/>
      <c r="D30" s="305"/>
      <c r="E30" s="305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306"/>
      <c r="DN30" s="306"/>
      <c r="DO30" s="306"/>
      <c r="DP30" s="306"/>
      <c r="DQ30" s="306"/>
      <c r="DR30" s="306"/>
      <c r="DS30" s="306"/>
      <c r="DT30" s="306"/>
      <c r="DU30" s="306"/>
      <c r="DV30" s="306"/>
      <c r="DW30" s="306"/>
      <c r="DX30" s="306"/>
      <c r="DY30" s="306"/>
      <c r="DZ30" s="306"/>
      <c r="EA30" s="306"/>
      <c r="EB30" s="306"/>
      <c r="EC30" s="306"/>
      <c r="ED30" s="306"/>
      <c r="EE30" s="306"/>
      <c r="EF30" s="306"/>
      <c r="EG30" s="306"/>
      <c r="EH30" s="306"/>
      <c r="EI30" s="306"/>
      <c r="EJ30" s="306"/>
      <c r="EK30" s="306"/>
      <c r="EL30" s="306"/>
      <c r="EM30" s="306"/>
      <c r="EN30" s="306"/>
      <c r="EO30" s="306"/>
      <c r="EP30" s="306"/>
      <c r="EQ30" s="306"/>
      <c r="ER30" s="306"/>
      <c r="ES30" s="306"/>
      <c r="ET30" s="306"/>
      <c r="EU30" s="306"/>
      <c r="EV30" s="306"/>
      <c r="EW30" s="306"/>
      <c r="EX30" s="306"/>
      <c r="EY30" s="306"/>
      <c r="EZ30" s="306"/>
      <c r="FA30" s="306"/>
      <c r="FB30" s="306"/>
      <c r="FC30" s="306"/>
      <c r="FD30" s="306"/>
      <c r="FE30" s="306"/>
      <c r="FF30" s="306"/>
      <c r="FG30" s="306"/>
      <c r="FH30" s="306"/>
      <c r="FI30" s="306"/>
      <c r="FJ30" s="306"/>
      <c r="FK30" s="306"/>
      <c r="FL30" s="306"/>
      <c r="FM30" s="306"/>
      <c r="FN30" s="306"/>
      <c r="FO30" s="306"/>
      <c r="FP30" s="306"/>
      <c r="FQ30" s="306"/>
      <c r="FR30" s="306"/>
      <c r="FS30" s="306"/>
      <c r="FT30" s="306"/>
      <c r="FU30" s="306"/>
      <c r="FV30" s="306"/>
      <c r="FW30" s="306"/>
      <c r="FX30" s="306"/>
      <c r="FY30" s="306"/>
      <c r="FZ30" s="306"/>
      <c r="GA30" s="306"/>
      <c r="GB30" s="306"/>
      <c r="GC30" s="306"/>
      <c r="GD30" s="306"/>
      <c r="GE30" s="306"/>
      <c r="GF30" s="306"/>
      <c r="GG30" s="306"/>
      <c r="GH30" s="306"/>
      <c r="GI30" s="306"/>
      <c r="GJ30" s="306"/>
      <c r="GK30" s="306"/>
      <c r="GL30" s="306"/>
      <c r="GM30" s="306"/>
      <c r="GN30" s="306"/>
      <c r="GO30" s="306"/>
      <c r="GP30" s="306"/>
      <c r="GQ30" s="306"/>
      <c r="GR30" s="306"/>
      <c r="GS30" s="306"/>
      <c r="GT30" s="306"/>
      <c r="GU30" s="306"/>
      <c r="GV30" s="306"/>
      <c r="GW30" s="306"/>
      <c r="GX30" s="306"/>
      <c r="GY30" s="306"/>
      <c r="GZ30" s="306"/>
      <c r="HA30" s="306"/>
      <c r="HB30" s="306"/>
      <c r="HC30" s="306"/>
      <c r="HD30" s="306"/>
      <c r="HE30" s="306"/>
      <c r="HF30" s="306"/>
      <c r="HG30" s="306"/>
      <c r="HH30" s="306"/>
      <c r="HI30" s="306"/>
      <c r="HJ30" s="306"/>
      <c r="HK30" s="306"/>
      <c r="HL30" s="306"/>
      <c r="HM30" s="306"/>
      <c r="HN30" s="306"/>
      <c r="HO30" s="306"/>
      <c r="HP30" s="306"/>
      <c r="HQ30" s="306"/>
      <c r="HR30" s="306"/>
      <c r="HS30" s="306"/>
      <c r="HT30" s="306"/>
      <c r="HU30" s="306"/>
      <c r="HV30" s="306"/>
      <c r="HW30" s="306"/>
      <c r="HX30" s="306"/>
      <c r="HY30" s="306"/>
      <c r="HZ30" s="306"/>
      <c r="IA30" s="306"/>
      <c r="IB30" s="306"/>
      <c r="IC30" s="306"/>
      <c r="ID30" s="306"/>
      <c r="IE30" s="306"/>
      <c r="IF30" s="306"/>
      <c r="IG30" s="306"/>
      <c r="IH30" s="306"/>
      <c r="II30" s="306"/>
      <c r="IJ30" s="306"/>
      <c r="IK30" s="306"/>
      <c r="IL30" s="306"/>
      <c r="IM30" s="306"/>
      <c r="IN30" s="306"/>
      <c r="IO30" s="306"/>
      <c r="IP30" s="306"/>
      <c r="IQ30" s="306"/>
      <c r="IR30" s="306"/>
      <c r="IS30" s="306"/>
      <c r="IT30" s="306"/>
      <c r="IU30" s="306"/>
      <c r="IV30" s="306"/>
    </row>
    <row r="31" spans="1:256" ht="21.75" customHeight="1">
      <c r="A31" s="342" t="s">
        <v>560</v>
      </c>
      <c r="B31" s="308">
        <v>16288</v>
      </c>
      <c r="C31" s="678"/>
      <c r="D31" s="305"/>
      <c r="E31" s="305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306"/>
      <c r="CS31" s="306"/>
      <c r="CT31" s="306"/>
      <c r="CU31" s="306"/>
      <c r="CV31" s="306"/>
      <c r="CW31" s="306"/>
      <c r="CX31" s="306"/>
      <c r="CY31" s="306"/>
      <c r="CZ31" s="306"/>
      <c r="DA31" s="306"/>
      <c r="DB31" s="306"/>
      <c r="DC31" s="306"/>
      <c r="DD31" s="306"/>
      <c r="DE31" s="306"/>
      <c r="DF31" s="306"/>
      <c r="DG31" s="306"/>
      <c r="DH31" s="306"/>
      <c r="DI31" s="306"/>
      <c r="DJ31" s="306"/>
      <c r="DK31" s="306"/>
      <c r="DL31" s="306"/>
      <c r="DM31" s="306"/>
      <c r="DN31" s="306"/>
      <c r="DO31" s="306"/>
      <c r="DP31" s="306"/>
      <c r="DQ31" s="306"/>
      <c r="DR31" s="306"/>
      <c r="DS31" s="306"/>
      <c r="DT31" s="306"/>
      <c r="DU31" s="306"/>
      <c r="DV31" s="306"/>
      <c r="DW31" s="306"/>
      <c r="DX31" s="306"/>
      <c r="DY31" s="306"/>
      <c r="DZ31" s="306"/>
      <c r="EA31" s="306"/>
      <c r="EB31" s="306"/>
      <c r="EC31" s="306"/>
      <c r="ED31" s="306"/>
      <c r="EE31" s="306"/>
      <c r="EF31" s="306"/>
      <c r="EG31" s="306"/>
      <c r="EH31" s="306"/>
      <c r="EI31" s="306"/>
      <c r="EJ31" s="306"/>
      <c r="EK31" s="306"/>
      <c r="EL31" s="306"/>
      <c r="EM31" s="306"/>
      <c r="EN31" s="306"/>
      <c r="EO31" s="306"/>
      <c r="EP31" s="306"/>
      <c r="EQ31" s="306"/>
      <c r="ER31" s="306"/>
      <c r="ES31" s="306"/>
      <c r="ET31" s="306"/>
      <c r="EU31" s="306"/>
      <c r="EV31" s="306"/>
      <c r="EW31" s="306"/>
      <c r="EX31" s="306"/>
      <c r="EY31" s="306"/>
      <c r="EZ31" s="306"/>
      <c r="FA31" s="306"/>
      <c r="FB31" s="306"/>
      <c r="FC31" s="306"/>
      <c r="FD31" s="306"/>
      <c r="FE31" s="306"/>
      <c r="FF31" s="306"/>
      <c r="FG31" s="306"/>
      <c r="FH31" s="306"/>
      <c r="FI31" s="306"/>
      <c r="FJ31" s="306"/>
      <c r="FK31" s="306"/>
      <c r="FL31" s="306"/>
      <c r="FM31" s="306"/>
      <c r="FN31" s="306"/>
      <c r="FO31" s="306"/>
      <c r="FP31" s="306"/>
      <c r="FQ31" s="306"/>
      <c r="FR31" s="306"/>
      <c r="FS31" s="306"/>
      <c r="FT31" s="306"/>
      <c r="FU31" s="306"/>
      <c r="FV31" s="306"/>
      <c r="FW31" s="306"/>
      <c r="FX31" s="306"/>
      <c r="FY31" s="306"/>
      <c r="FZ31" s="306"/>
      <c r="GA31" s="306"/>
      <c r="GB31" s="306"/>
      <c r="GC31" s="306"/>
      <c r="GD31" s="306"/>
      <c r="GE31" s="306"/>
      <c r="GF31" s="306"/>
      <c r="GG31" s="306"/>
      <c r="GH31" s="306"/>
      <c r="GI31" s="306"/>
      <c r="GJ31" s="306"/>
      <c r="GK31" s="306"/>
      <c r="GL31" s="306"/>
      <c r="GM31" s="306"/>
      <c r="GN31" s="306"/>
      <c r="GO31" s="306"/>
      <c r="GP31" s="306"/>
      <c r="GQ31" s="306"/>
      <c r="GR31" s="306"/>
      <c r="GS31" s="306"/>
      <c r="GT31" s="306"/>
      <c r="GU31" s="306"/>
      <c r="GV31" s="306"/>
      <c r="GW31" s="306"/>
      <c r="GX31" s="306"/>
      <c r="GY31" s="306"/>
      <c r="GZ31" s="306"/>
      <c r="HA31" s="306"/>
      <c r="HB31" s="306"/>
      <c r="HC31" s="306"/>
      <c r="HD31" s="306"/>
      <c r="HE31" s="306"/>
      <c r="HF31" s="306"/>
      <c r="HG31" s="306"/>
      <c r="HH31" s="306"/>
      <c r="HI31" s="306"/>
      <c r="HJ31" s="306"/>
      <c r="HK31" s="306"/>
      <c r="HL31" s="306"/>
      <c r="HM31" s="306"/>
      <c r="HN31" s="306"/>
      <c r="HO31" s="306"/>
      <c r="HP31" s="306"/>
      <c r="HQ31" s="306"/>
      <c r="HR31" s="306"/>
      <c r="HS31" s="306"/>
      <c r="HT31" s="306"/>
      <c r="HU31" s="306"/>
      <c r="HV31" s="306"/>
      <c r="HW31" s="306"/>
      <c r="HX31" s="306"/>
      <c r="HY31" s="306"/>
      <c r="HZ31" s="306"/>
      <c r="IA31" s="306"/>
      <c r="IB31" s="306"/>
      <c r="IC31" s="306"/>
      <c r="ID31" s="306"/>
      <c r="IE31" s="306"/>
      <c r="IF31" s="306"/>
      <c r="IG31" s="306"/>
      <c r="IH31" s="306"/>
      <c r="II31" s="306"/>
      <c r="IJ31" s="306"/>
      <c r="IK31" s="306"/>
      <c r="IL31" s="306"/>
      <c r="IM31" s="306"/>
      <c r="IN31" s="306"/>
      <c r="IO31" s="306"/>
      <c r="IP31" s="306"/>
      <c r="IQ31" s="306"/>
      <c r="IR31" s="306"/>
      <c r="IS31" s="306"/>
      <c r="IT31" s="306"/>
      <c r="IU31" s="306"/>
      <c r="IV31" s="306"/>
    </row>
    <row r="32" spans="1:256" ht="21.75" customHeight="1">
      <c r="A32" s="309" t="s">
        <v>293</v>
      </c>
      <c r="B32" s="308">
        <v>51372.7</v>
      </c>
      <c r="C32" s="678"/>
      <c r="D32" s="305"/>
      <c r="E32" s="305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6"/>
      <c r="EL32" s="306"/>
      <c r="EM32" s="306"/>
      <c r="EN32" s="306"/>
      <c r="EO32" s="306"/>
      <c r="EP32" s="306"/>
      <c r="EQ32" s="306"/>
      <c r="ER32" s="306"/>
      <c r="ES32" s="306"/>
      <c r="ET32" s="306"/>
      <c r="EU32" s="306"/>
      <c r="EV32" s="306"/>
      <c r="EW32" s="306"/>
      <c r="EX32" s="306"/>
      <c r="EY32" s="306"/>
      <c r="EZ32" s="306"/>
      <c r="FA32" s="306"/>
      <c r="FB32" s="306"/>
      <c r="FC32" s="306"/>
      <c r="FD32" s="306"/>
      <c r="FE32" s="306"/>
      <c r="FF32" s="306"/>
      <c r="FG32" s="306"/>
      <c r="FH32" s="306"/>
      <c r="FI32" s="306"/>
      <c r="FJ32" s="306"/>
      <c r="FK32" s="306"/>
      <c r="FL32" s="306"/>
      <c r="FM32" s="306"/>
      <c r="FN32" s="306"/>
      <c r="FO32" s="306"/>
      <c r="FP32" s="306"/>
      <c r="FQ32" s="306"/>
      <c r="FR32" s="306"/>
      <c r="FS32" s="306"/>
      <c r="FT32" s="306"/>
      <c r="FU32" s="306"/>
      <c r="FV32" s="306"/>
      <c r="FW32" s="306"/>
      <c r="FX32" s="306"/>
      <c r="FY32" s="306"/>
      <c r="FZ32" s="306"/>
      <c r="GA32" s="306"/>
      <c r="GB32" s="306"/>
      <c r="GC32" s="306"/>
      <c r="GD32" s="306"/>
      <c r="GE32" s="306"/>
      <c r="GF32" s="306"/>
      <c r="GG32" s="306"/>
      <c r="GH32" s="306"/>
      <c r="GI32" s="306"/>
      <c r="GJ32" s="306"/>
      <c r="GK32" s="306"/>
      <c r="GL32" s="306"/>
      <c r="GM32" s="306"/>
      <c r="GN32" s="306"/>
      <c r="GO32" s="306"/>
      <c r="GP32" s="306"/>
      <c r="GQ32" s="306"/>
      <c r="GR32" s="306"/>
      <c r="GS32" s="306"/>
      <c r="GT32" s="306"/>
      <c r="GU32" s="306"/>
      <c r="GV32" s="306"/>
      <c r="GW32" s="306"/>
      <c r="GX32" s="306"/>
      <c r="GY32" s="306"/>
      <c r="GZ32" s="306"/>
      <c r="HA32" s="306"/>
      <c r="HB32" s="306"/>
      <c r="HC32" s="306"/>
      <c r="HD32" s="306"/>
      <c r="HE32" s="306"/>
      <c r="HF32" s="306"/>
      <c r="HG32" s="306"/>
      <c r="HH32" s="306"/>
      <c r="HI32" s="306"/>
      <c r="HJ32" s="306"/>
      <c r="HK32" s="306"/>
      <c r="HL32" s="306"/>
      <c r="HM32" s="306"/>
      <c r="HN32" s="306"/>
      <c r="HO32" s="306"/>
      <c r="HP32" s="306"/>
      <c r="HQ32" s="306"/>
      <c r="HR32" s="306"/>
      <c r="HS32" s="306"/>
      <c r="HT32" s="306"/>
      <c r="HU32" s="306"/>
      <c r="HV32" s="306"/>
      <c r="HW32" s="306"/>
      <c r="HX32" s="306"/>
      <c r="HY32" s="306"/>
      <c r="HZ32" s="306"/>
      <c r="IA32" s="306"/>
      <c r="IB32" s="306"/>
      <c r="IC32" s="306"/>
      <c r="ID32" s="306"/>
      <c r="IE32" s="306"/>
      <c r="IF32" s="306"/>
      <c r="IG32" s="306"/>
      <c r="IH32" s="306"/>
      <c r="II32" s="306"/>
      <c r="IJ32" s="306"/>
      <c r="IK32" s="306"/>
      <c r="IL32" s="306"/>
      <c r="IM32" s="306"/>
      <c r="IN32" s="306"/>
      <c r="IO32" s="306"/>
      <c r="IP32" s="306"/>
      <c r="IQ32" s="306"/>
      <c r="IR32" s="306"/>
      <c r="IS32" s="306"/>
      <c r="IT32" s="306"/>
      <c r="IU32" s="306"/>
      <c r="IV32" s="306"/>
    </row>
    <row r="33" spans="1:256" ht="21.75" customHeight="1">
      <c r="A33" s="309" t="s">
        <v>295</v>
      </c>
      <c r="B33" s="308">
        <v>305180.22</v>
      </c>
      <c r="C33" s="678"/>
      <c r="D33" s="305"/>
      <c r="E33" s="305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/>
      <c r="CC33" s="306"/>
      <c r="CD33" s="306"/>
      <c r="CE33" s="306"/>
      <c r="CF33" s="306"/>
      <c r="CG33" s="306"/>
      <c r="CH33" s="306"/>
      <c r="CI33" s="306"/>
      <c r="CJ33" s="306"/>
      <c r="CK33" s="306"/>
      <c r="CL33" s="306"/>
      <c r="CM33" s="306"/>
      <c r="CN33" s="306"/>
      <c r="CO33" s="306"/>
      <c r="CP33" s="306"/>
      <c r="CQ33" s="306"/>
      <c r="CR33" s="306"/>
      <c r="CS33" s="306"/>
      <c r="CT33" s="306"/>
      <c r="CU33" s="306"/>
      <c r="CV33" s="306"/>
      <c r="CW33" s="306"/>
      <c r="CX33" s="306"/>
      <c r="CY33" s="306"/>
      <c r="CZ33" s="306"/>
      <c r="DA33" s="306"/>
      <c r="DB33" s="306"/>
      <c r="DC33" s="306"/>
      <c r="DD33" s="306"/>
      <c r="DE33" s="306"/>
      <c r="DF33" s="306"/>
      <c r="DG33" s="306"/>
      <c r="DH33" s="306"/>
      <c r="DI33" s="306"/>
      <c r="DJ33" s="306"/>
      <c r="DK33" s="306"/>
      <c r="DL33" s="306"/>
      <c r="DM33" s="306"/>
      <c r="DN33" s="306"/>
      <c r="DO33" s="306"/>
      <c r="DP33" s="306"/>
      <c r="DQ33" s="306"/>
      <c r="DR33" s="306"/>
      <c r="DS33" s="306"/>
      <c r="DT33" s="306"/>
      <c r="DU33" s="306"/>
      <c r="DV33" s="306"/>
      <c r="DW33" s="306"/>
      <c r="DX33" s="306"/>
      <c r="DY33" s="306"/>
      <c r="DZ33" s="306"/>
      <c r="EA33" s="306"/>
      <c r="EB33" s="306"/>
      <c r="EC33" s="306"/>
      <c r="ED33" s="306"/>
      <c r="EE33" s="306"/>
      <c r="EF33" s="306"/>
      <c r="EG33" s="306"/>
      <c r="EH33" s="306"/>
      <c r="EI33" s="306"/>
      <c r="EJ33" s="306"/>
      <c r="EK33" s="306"/>
      <c r="EL33" s="306"/>
      <c r="EM33" s="306"/>
      <c r="EN33" s="306"/>
      <c r="EO33" s="306"/>
      <c r="EP33" s="306"/>
      <c r="EQ33" s="306"/>
      <c r="ER33" s="306"/>
      <c r="ES33" s="306"/>
      <c r="ET33" s="306"/>
      <c r="EU33" s="306"/>
      <c r="EV33" s="306"/>
      <c r="EW33" s="306"/>
      <c r="EX33" s="306"/>
      <c r="EY33" s="306"/>
      <c r="EZ33" s="306"/>
      <c r="FA33" s="306"/>
      <c r="FB33" s="306"/>
      <c r="FC33" s="306"/>
      <c r="FD33" s="306"/>
      <c r="FE33" s="306"/>
      <c r="FF33" s="306"/>
      <c r="FG33" s="306"/>
      <c r="FH33" s="306"/>
      <c r="FI33" s="306"/>
      <c r="FJ33" s="306"/>
      <c r="FK33" s="306"/>
      <c r="FL33" s="306"/>
      <c r="FM33" s="306"/>
      <c r="FN33" s="306"/>
      <c r="FO33" s="306"/>
      <c r="FP33" s="306"/>
      <c r="FQ33" s="306"/>
      <c r="FR33" s="306"/>
      <c r="FS33" s="306"/>
      <c r="FT33" s="306"/>
      <c r="FU33" s="306"/>
      <c r="FV33" s="306"/>
      <c r="FW33" s="306"/>
      <c r="FX33" s="306"/>
      <c r="FY33" s="306"/>
      <c r="FZ33" s="306"/>
      <c r="GA33" s="306"/>
      <c r="GB33" s="306"/>
      <c r="GC33" s="306"/>
      <c r="GD33" s="306"/>
      <c r="GE33" s="306"/>
      <c r="GF33" s="306"/>
      <c r="GG33" s="306"/>
      <c r="GH33" s="306"/>
      <c r="GI33" s="306"/>
      <c r="GJ33" s="306"/>
      <c r="GK33" s="306"/>
      <c r="GL33" s="306"/>
      <c r="GM33" s="306"/>
      <c r="GN33" s="306"/>
      <c r="GO33" s="306"/>
      <c r="GP33" s="306"/>
      <c r="GQ33" s="306"/>
      <c r="GR33" s="306"/>
      <c r="GS33" s="306"/>
      <c r="GT33" s="306"/>
      <c r="GU33" s="306"/>
      <c r="GV33" s="306"/>
      <c r="GW33" s="306"/>
      <c r="GX33" s="306"/>
      <c r="GY33" s="306"/>
      <c r="GZ33" s="306"/>
      <c r="HA33" s="306"/>
      <c r="HB33" s="306"/>
      <c r="HC33" s="306"/>
      <c r="HD33" s="306"/>
      <c r="HE33" s="306"/>
      <c r="HF33" s="306"/>
      <c r="HG33" s="306"/>
      <c r="HH33" s="306"/>
      <c r="HI33" s="306"/>
      <c r="HJ33" s="306"/>
      <c r="HK33" s="306"/>
      <c r="HL33" s="306"/>
      <c r="HM33" s="306"/>
      <c r="HN33" s="306"/>
      <c r="HO33" s="306"/>
      <c r="HP33" s="306"/>
      <c r="HQ33" s="306"/>
      <c r="HR33" s="306"/>
      <c r="HS33" s="306"/>
      <c r="HT33" s="306"/>
      <c r="HU33" s="306"/>
      <c r="HV33" s="306"/>
      <c r="HW33" s="306"/>
      <c r="HX33" s="306"/>
      <c r="HY33" s="306"/>
      <c r="HZ33" s="306"/>
      <c r="IA33" s="306"/>
      <c r="IB33" s="306"/>
      <c r="IC33" s="306"/>
      <c r="ID33" s="306"/>
      <c r="IE33" s="306"/>
      <c r="IF33" s="306"/>
      <c r="IG33" s="306"/>
      <c r="IH33" s="306"/>
      <c r="II33" s="306"/>
      <c r="IJ33" s="306"/>
      <c r="IK33" s="306"/>
      <c r="IL33" s="306"/>
      <c r="IM33" s="306"/>
      <c r="IN33" s="306"/>
      <c r="IO33" s="306"/>
      <c r="IP33" s="306"/>
      <c r="IQ33" s="306"/>
      <c r="IR33" s="306"/>
      <c r="IS33" s="306"/>
      <c r="IT33" s="306"/>
      <c r="IU33" s="306"/>
      <c r="IV33" s="306"/>
    </row>
    <row r="34" spans="1:256" ht="21.75" customHeight="1">
      <c r="A34" s="309" t="s">
        <v>294</v>
      </c>
      <c r="B34" s="308">
        <v>282</v>
      </c>
      <c r="C34" s="678"/>
      <c r="D34" s="305"/>
      <c r="E34" s="305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  <c r="DD34" s="306"/>
      <c r="DE34" s="306"/>
      <c r="DF34" s="306"/>
      <c r="DG34" s="306"/>
      <c r="DH34" s="306"/>
      <c r="DI34" s="306"/>
      <c r="DJ34" s="306"/>
      <c r="DK34" s="306"/>
      <c r="DL34" s="306"/>
      <c r="DM34" s="306"/>
      <c r="DN34" s="306"/>
      <c r="DO34" s="306"/>
      <c r="DP34" s="306"/>
      <c r="DQ34" s="306"/>
      <c r="DR34" s="306"/>
      <c r="DS34" s="306"/>
      <c r="DT34" s="306"/>
      <c r="DU34" s="306"/>
      <c r="DV34" s="306"/>
      <c r="DW34" s="306"/>
      <c r="DX34" s="306"/>
      <c r="DY34" s="306"/>
      <c r="DZ34" s="306"/>
      <c r="EA34" s="306"/>
      <c r="EB34" s="306"/>
      <c r="EC34" s="306"/>
      <c r="ED34" s="306"/>
      <c r="EE34" s="306"/>
      <c r="EF34" s="306"/>
      <c r="EG34" s="306"/>
      <c r="EH34" s="306"/>
      <c r="EI34" s="306"/>
      <c r="EJ34" s="306"/>
      <c r="EK34" s="306"/>
      <c r="EL34" s="306"/>
      <c r="EM34" s="306"/>
      <c r="EN34" s="306"/>
      <c r="EO34" s="306"/>
      <c r="EP34" s="306"/>
      <c r="EQ34" s="306"/>
      <c r="ER34" s="306"/>
      <c r="ES34" s="306"/>
      <c r="ET34" s="306"/>
      <c r="EU34" s="306"/>
      <c r="EV34" s="306"/>
      <c r="EW34" s="306"/>
      <c r="EX34" s="306"/>
      <c r="EY34" s="306"/>
      <c r="EZ34" s="306"/>
      <c r="FA34" s="306"/>
      <c r="FB34" s="306"/>
      <c r="FC34" s="306"/>
      <c r="FD34" s="306"/>
      <c r="FE34" s="306"/>
      <c r="FF34" s="306"/>
      <c r="FG34" s="306"/>
      <c r="FH34" s="306"/>
      <c r="FI34" s="306"/>
      <c r="FJ34" s="306"/>
      <c r="FK34" s="306"/>
      <c r="FL34" s="306"/>
      <c r="FM34" s="306"/>
      <c r="FN34" s="306"/>
      <c r="FO34" s="306"/>
      <c r="FP34" s="306"/>
      <c r="FQ34" s="306"/>
      <c r="FR34" s="306"/>
      <c r="FS34" s="306"/>
      <c r="FT34" s="306"/>
      <c r="FU34" s="306"/>
      <c r="FV34" s="306"/>
      <c r="FW34" s="306"/>
      <c r="FX34" s="306"/>
      <c r="FY34" s="306"/>
      <c r="FZ34" s="306"/>
      <c r="GA34" s="306"/>
      <c r="GB34" s="306"/>
      <c r="GC34" s="306"/>
      <c r="GD34" s="306"/>
      <c r="GE34" s="306"/>
      <c r="GF34" s="306"/>
      <c r="GG34" s="306"/>
      <c r="GH34" s="306"/>
      <c r="GI34" s="306"/>
      <c r="GJ34" s="306"/>
      <c r="GK34" s="306"/>
      <c r="GL34" s="306"/>
      <c r="GM34" s="306"/>
      <c r="GN34" s="306"/>
      <c r="GO34" s="306"/>
      <c r="GP34" s="306"/>
      <c r="GQ34" s="306"/>
      <c r="GR34" s="306"/>
      <c r="GS34" s="306"/>
      <c r="GT34" s="306"/>
      <c r="GU34" s="306"/>
      <c r="GV34" s="306"/>
      <c r="GW34" s="306"/>
      <c r="GX34" s="306"/>
      <c r="GY34" s="306"/>
      <c r="GZ34" s="306"/>
      <c r="HA34" s="306"/>
      <c r="HB34" s="306"/>
      <c r="HC34" s="306"/>
      <c r="HD34" s="306"/>
      <c r="HE34" s="306"/>
      <c r="HF34" s="306"/>
      <c r="HG34" s="306"/>
      <c r="HH34" s="306"/>
      <c r="HI34" s="306"/>
      <c r="HJ34" s="306"/>
      <c r="HK34" s="306"/>
      <c r="HL34" s="306"/>
      <c r="HM34" s="306"/>
      <c r="HN34" s="306"/>
      <c r="HO34" s="306"/>
      <c r="HP34" s="306"/>
      <c r="HQ34" s="306"/>
      <c r="HR34" s="306"/>
      <c r="HS34" s="306"/>
      <c r="HT34" s="306"/>
      <c r="HU34" s="306"/>
      <c r="HV34" s="306"/>
      <c r="HW34" s="306"/>
      <c r="HX34" s="306"/>
      <c r="HY34" s="306"/>
      <c r="HZ34" s="306"/>
      <c r="IA34" s="306"/>
      <c r="IB34" s="306"/>
      <c r="IC34" s="306"/>
      <c r="ID34" s="306"/>
      <c r="IE34" s="306"/>
      <c r="IF34" s="306"/>
      <c r="IG34" s="306"/>
      <c r="IH34" s="306"/>
      <c r="II34" s="306"/>
      <c r="IJ34" s="306"/>
      <c r="IK34" s="306"/>
      <c r="IL34" s="306"/>
      <c r="IM34" s="306"/>
      <c r="IN34" s="306"/>
      <c r="IO34" s="306"/>
      <c r="IP34" s="306"/>
      <c r="IQ34" s="306"/>
      <c r="IR34" s="306"/>
      <c r="IS34" s="306"/>
      <c r="IT34" s="306"/>
      <c r="IU34" s="306"/>
      <c r="IV34" s="306"/>
    </row>
    <row r="35" spans="1:256" ht="21.75" customHeight="1">
      <c r="A35" s="309" t="s">
        <v>561</v>
      </c>
      <c r="B35" s="308">
        <v>2650</v>
      </c>
      <c r="C35" s="678"/>
      <c r="D35" s="305"/>
      <c r="E35" s="305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/>
      <c r="BX35" s="306"/>
      <c r="BY35" s="306"/>
      <c r="BZ35" s="306"/>
      <c r="CA35" s="306"/>
      <c r="CB35" s="306"/>
      <c r="CC35" s="306"/>
      <c r="CD35" s="306"/>
      <c r="CE35" s="306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  <c r="CU35" s="306"/>
      <c r="CV35" s="306"/>
      <c r="CW35" s="306"/>
      <c r="CX35" s="306"/>
      <c r="CY35" s="306"/>
      <c r="CZ35" s="306"/>
      <c r="DA35" s="306"/>
      <c r="DB35" s="306"/>
      <c r="DC35" s="306"/>
      <c r="DD35" s="306"/>
      <c r="DE35" s="306"/>
      <c r="DF35" s="306"/>
      <c r="DG35" s="306"/>
      <c r="DH35" s="306"/>
      <c r="DI35" s="306"/>
      <c r="DJ35" s="306"/>
      <c r="DK35" s="306"/>
      <c r="DL35" s="306"/>
      <c r="DM35" s="306"/>
      <c r="DN35" s="306"/>
      <c r="DO35" s="306"/>
      <c r="DP35" s="306"/>
      <c r="DQ35" s="306"/>
      <c r="DR35" s="306"/>
      <c r="DS35" s="306"/>
      <c r="DT35" s="306"/>
      <c r="DU35" s="306"/>
      <c r="DV35" s="306"/>
      <c r="DW35" s="306"/>
      <c r="DX35" s="306"/>
      <c r="DY35" s="306"/>
      <c r="DZ35" s="306"/>
      <c r="EA35" s="306"/>
      <c r="EB35" s="306"/>
      <c r="EC35" s="306"/>
      <c r="ED35" s="306"/>
      <c r="EE35" s="306"/>
      <c r="EF35" s="306"/>
      <c r="EG35" s="306"/>
      <c r="EH35" s="306"/>
      <c r="EI35" s="306"/>
      <c r="EJ35" s="306"/>
      <c r="EK35" s="306"/>
      <c r="EL35" s="306"/>
      <c r="EM35" s="306"/>
      <c r="EN35" s="306"/>
      <c r="EO35" s="306"/>
      <c r="EP35" s="306"/>
      <c r="EQ35" s="306"/>
      <c r="ER35" s="306"/>
      <c r="ES35" s="306"/>
      <c r="ET35" s="306"/>
      <c r="EU35" s="306"/>
      <c r="EV35" s="306"/>
      <c r="EW35" s="306"/>
      <c r="EX35" s="306"/>
      <c r="EY35" s="306"/>
      <c r="EZ35" s="306"/>
      <c r="FA35" s="306"/>
      <c r="FB35" s="306"/>
      <c r="FC35" s="306"/>
      <c r="FD35" s="306"/>
      <c r="FE35" s="306"/>
      <c r="FF35" s="306"/>
      <c r="FG35" s="306"/>
      <c r="FH35" s="306"/>
      <c r="FI35" s="306"/>
      <c r="FJ35" s="306"/>
      <c r="FK35" s="306"/>
      <c r="FL35" s="306"/>
      <c r="FM35" s="306"/>
      <c r="FN35" s="306"/>
      <c r="FO35" s="306"/>
      <c r="FP35" s="306"/>
      <c r="FQ35" s="306"/>
      <c r="FR35" s="306"/>
      <c r="FS35" s="306"/>
      <c r="FT35" s="306"/>
      <c r="FU35" s="306"/>
      <c r="FV35" s="306"/>
      <c r="FW35" s="306"/>
      <c r="FX35" s="306"/>
      <c r="FY35" s="306"/>
      <c r="FZ35" s="306"/>
      <c r="GA35" s="306"/>
      <c r="GB35" s="306"/>
      <c r="GC35" s="306"/>
      <c r="GD35" s="306"/>
      <c r="GE35" s="306"/>
      <c r="GF35" s="306"/>
      <c r="GG35" s="306"/>
      <c r="GH35" s="306"/>
      <c r="GI35" s="306"/>
      <c r="GJ35" s="306"/>
      <c r="GK35" s="306"/>
      <c r="GL35" s="306"/>
      <c r="GM35" s="306"/>
      <c r="GN35" s="306"/>
      <c r="GO35" s="306"/>
      <c r="GP35" s="306"/>
      <c r="GQ35" s="306"/>
      <c r="GR35" s="306"/>
      <c r="GS35" s="306"/>
      <c r="GT35" s="306"/>
      <c r="GU35" s="306"/>
      <c r="GV35" s="306"/>
      <c r="GW35" s="306"/>
      <c r="GX35" s="306"/>
      <c r="GY35" s="306"/>
      <c r="GZ35" s="306"/>
      <c r="HA35" s="306"/>
      <c r="HB35" s="306"/>
      <c r="HC35" s="306"/>
      <c r="HD35" s="306"/>
      <c r="HE35" s="306"/>
      <c r="HF35" s="306"/>
      <c r="HG35" s="306"/>
      <c r="HH35" s="306"/>
      <c r="HI35" s="306"/>
      <c r="HJ35" s="306"/>
      <c r="HK35" s="306"/>
      <c r="HL35" s="306"/>
      <c r="HM35" s="306"/>
      <c r="HN35" s="306"/>
      <c r="HO35" s="306"/>
      <c r="HP35" s="306"/>
      <c r="HQ35" s="306"/>
      <c r="HR35" s="306"/>
      <c r="HS35" s="306"/>
      <c r="HT35" s="306"/>
      <c r="HU35" s="306"/>
      <c r="HV35" s="306"/>
      <c r="HW35" s="306"/>
      <c r="HX35" s="306"/>
      <c r="HY35" s="306"/>
      <c r="HZ35" s="306"/>
      <c r="IA35" s="306"/>
      <c r="IB35" s="306"/>
      <c r="IC35" s="306"/>
      <c r="ID35" s="306"/>
      <c r="IE35" s="306"/>
      <c r="IF35" s="306"/>
      <c r="IG35" s="306"/>
      <c r="IH35" s="306"/>
      <c r="II35" s="306"/>
      <c r="IJ35" s="306"/>
      <c r="IK35" s="306"/>
      <c r="IL35" s="306"/>
      <c r="IM35" s="306"/>
      <c r="IN35" s="306"/>
      <c r="IO35" s="306"/>
      <c r="IP35" s="306"/>
      <c r="IQ35" s="306"/>
      <c r="IR35" s="306"/>
      <c r="IS35" s="306"/>
      <c r="IT35" s="306"/>
      <c r="IU35" s="306"/>
      <c r="IV35" s="306"/>
    </row>
    <row r="36" spans="1:256" ht="21.75" customHeight="1">
      <c r="A36" s="309" t="s">
        <v>296</v>
      </c>
      <c r="B36" s="307">
        <v>1163</v>
      </c>
      <c r="C36" s="678"/>
      <c r="D36" s="305"/>
      <c r="E36" s="305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  <c r="CH36" s="306"/>
      <c r="CI36" s="306"/>
      <c r="CJ36" s="306"/>
      <c r="CK36" s="306"/>
      <c r="CL36" s="306"/>
      <c r="CM36" s="306"/>
      <c r="CN36" s="306"/>
      <c r="CO36" s="306"/>
      <c r="CP36" s="306"/>
      <c r="CQ36" s="306"/>
      <c r="CR36" s="306"/>
      <c r="CS36" s="306"/>
      <c r="CT36" s="306"/>
      <c r="CU36" s="306"/>
      <c r="CV36" s="306"/>
      <c r="CW36" s="306"/>
      <c r="CX36" s="306"/>
      <c r="CY36" s="306"/>
      <c r="CZ36" s="306"/>
      <c r="DA36" s="306"/>
      <c r="DB36" s="306"/>
      <c r="DC36" s="306"/>
      <c r="DD36" s="306"/>
      <c r="DE36" s="306"/>
      <c r="DF36" s="306"/>
      <c r="DG36" s="306"/>
      <c r="DH36" s="306"/>
      <c r="DI36" s="306"/>
      <c r="DJ36" s="306"/>
      <c r="DK36" s="306"/>
      <c r="DL36" s="306"/>
      <c r="DM36" s="306"/>
      <c r="DN36" s="306"/>
      <c r="DO36" s="306"/>
      <c r="DP36" s="306"/>
      <c r="DQ36" s="306"/>
      <c r="DR36" s="306"/>
      <c r="DS36" s="306"/>
      <c r="DT36" s="306"/>
      <c r="DU36" s="306"/>
      <c r="DV36" s="306"/>
      <c r="DW36" s="306"/>
      <c r="DX36" s="306"/>
      <c r="DY36" s="306"/>
      <c r="DZ36" s="306"/>
      <c r="EA36" s="306"/>
      <c r="EB36" s="306"/>
      <c r="EC36" s="306"/>
      <c r="ED36" s="306"/>
      <c r="EE36" s="306"/>
      <c r="EF36" s="306"/>
      <c r="EG36" s="306"/>
      <c r="EH36" s="306"/>
      <c r="EI36" s="306"/>
      <c r="EJ36" s="306"/>
      <c r="EK36" s="306"/>
      <c r="EL36" s="306"/>
      <c r="EM36" s="306"/>
      <c r="EN36" s="306"/>
      <c r="EO36" s="306"/>
      <c r="EP36" s="306"/>
      <c r="EQ36" s="306"/>
      <c r="ER36" s="306"/>
      <c r="ES36" s="306"/>
      <c r="ET36" s="306"/>
      <c r="EU36" s="306"/>
      <c r="EV36" s="306"/>
      <c r="EW36" s="306"/>
      <c r="EX36" s="306"/>
      <c r="EY36" s="306"/>
      <c r="EZ36" s="306"/>
      <c r="FA36" s="306"/>
      <c r="FB36" s="306"/>
      <c r="FC36" s="306"/>
      <c r="FD36" s="306"/>
      <c r="FE36" s="306"/>
      <c r="FF36" s="306"/>
      <c r="FG36" s="306"/>
      <c r="FH36" s="306"/>
      <c r="FI36" s="306"/>
      <c r="FJ36" s="306"/>
      <c r="FK36" s="306"/>
      <c r="FL36" s="306"/>
      <c r="FM36" s="306"/>
      <c r="FN36" s="306"/>
      <c r="FO36" s="306"/>
      <c r="FP36" s="306"/>
      <c r="FQ36" s="306"/>
      <c r="FR36" s="306"/>
      <c r="FS36" s="306"/>
      <c r="FT36" s="306"/>
      <c r="FU36" s="306"/>
      <c r="FV36" s="306"/>
      <c r="FW36" s="306"/>
      <c r="FX36" s="306"/>
      <c r="FY36" s="306"/>
      <c r="FZ36" s="306"/>
      <c r="GA36" s="306"/>
      <c r="GB36" s="306"/>
      <c r="GC36" s="306"/>
      <c r="GD36" s="306"/>
      <c r="GE36" s="306"/>
      <c r="GF36" s="306"/>
      <c r="GG36" s="306"/>
      <c r="GH36" s="306"/>
      <c r="GI36" s="306"/>
      <c r="GJ36" s="306"/>
      <c r="GK36" s="306"/>
      <c r="GL36" s="306"/>
      <c r="GM36" s="306"/>
      <c r="GN36" s="306"/>
      <c r="GO36" s="306"/>
      <c r="GP36" s="306"/>
      <c r="GQ36" s="306"/>
      <c r="GR36" s="306"/>
      <c r="GS36" s="306"/>
      <c r="GT36" s="306"/>
      <c r="GU36" s="306"/>
      <c r="GV36" s="306"/>
      <c r="GW36" s="306"/>
      <c r="GX36" s="306"/>
      <c r="GY36" s="306"/>
      <c r="GZ36" s="306"/>
      <c r="HA36" s="306"/>
      <c r="HB36" s="306"/>
      <c r="HC36" s="306"/>
      <c r="HD36" s="306"/>
      <c r="HE36" s="306"/>
      <c r="HF36" s="306"/>
      <c r="HG36" s="306"/>
      <c r="HH36" s="306"/>
      <c r="HI36" s="306"/>
      <c r="HJ36" s="306"/>
      <c r="HK36" s="306"/>
      <c r="HL36" s="306"/>
      <c r="HM36" s="306"/>
      <c r="HN36" s="306"/>
      <c r="HO36" s="306"/>
      <c r="HP36" s="306"/>
      <c r="HQ36" s="306"/>
      <c r="HR36" s="306"/>
      <c r="HS36" s="306"/>
      <c r="HT36" s="306"/>
      <c r="HU36" s="306"/>
      <c r="HV36" s="306"/>
      <c r="HW36" s="306"/>
      <c r="HX36" s="306"/>
      <c r="HY36" s="306"/>
      <c r="HZ36" s="306"/>
      <c r="IA36" s="306"/>
      <c r="IB36" s="306"/>
      <c r="IC36" s="306"/>
      <c r="ID36" s="306"/>
      <c r="IE36" s="306"/>
      <c r="IF36" s="306"/>
      <c r="IG36" s="306"/>
      <c r="IH36" s="306"/>
      <c r="II36" s="306"/>
      <c r="IJ36" s="306"/>
      <c r="IK36" s="306"/>
      <c r="IL36" s="306"/>
      <c r="IM36" s="306"/>
      <c r="IN36" s="306"/>
      <c r="IO36" s="306"/>
      <c r="IP36" s="306"/>
      <c r="IQ36" s="306"/>
      <c r="IR36" s="306"/>
      <c r="IS36" s="306"/>
      <c r="IT36" s="306"/>
      <c r="IU36" s="306"/>
      <c r="IV36" s="306"/>
    </row>
    <row r="37" spans="1:256" ht="21.75" customHeight="1">
      <c r="A37" s="309" t="s">
        <v>297</v>
      </c>
      <c r="B37" s="308">
        <v>2835038.75</v>
      </c>
      <c r="C37" s="304"/>
      <c r="D37" s="305"/>
      <c r="E37" s="305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306"/>
      <c r="BS37" s="306"/>
      <c r="BT37" s="306"/>
      <c r="BU37" s="306"/>
      <c r="BV37" s="306"/>
      <c r="BW37" s="306"/>
      <c r="BX37" s="306"/>
      <c r="BY37" s="306"/>
      <c r="BZ37" s="306"/>
      <c r="CA37" s="306"/>
      <c r="CB37" s="306"/>
      <c r="CC37" s="306"/>
      <c r="CD37" s="306"/>
      <c r="CE37" s="306"/>
      <c r="CF37" s="306"/>
      <c r="CG37" s="306"/>
      <c r="CH37" s="306"/>
      <c r="CI37" s="306"/>
      <c r="CJ37" s="306"/>
      <c r="CK37" s="306"/>
      <c r="CL37" s="306"/>
      <c r="CM37" s="306"/>
      <c r="CN37" s="306"/>
      <c r="CO37" s="306"/>
      <c r="CP37" s="306"/>
      <c r="CQ37" s="306"/>
      <c r="CR37" s="306"/>
      <c r="CS37" s="306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6"/>
      <c r="DJ37" s="306"/>
      <c r="DK37" s="306"/>
      <c r="DL37" s="306"/>
      <c r="DM37" s="306"/>
      <c r="DN37" s="306"/>
      <c r="DO37" s="306"/>
      <c r="DP37" s="306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6"/>
      <c r="ED37" s="306"/>
      <c r="EE37" s="306"/>
      <c r="EF37" s="306"/>
      <c r="EG37" s="306"/>
      <c r="EH37" s="306"/>
      <c r="EI37" s="306"/>
      <c r="EJ37" s="306"/>
      <c r="EK37" s="306"/>
      <c r="EL37" s="306"/>
      <c r="EM37" s="306"/>
      <c r="EN37" s="306"/>
      <c r="EO37" s="306"/>
      <c r="EP37" s="306"/>
      <c r="EQ37" s="306"/>
      <c r="ER37" s="306"/>
      <c r="ES37" s="306"/>
      <c r="ET37" s="306"/>
      <c r="EU37" s="306"/>
      <c r="EV37" s="306"/>
      <c r="EW37" s="306"/>
      <c r="EX37" s="306"/>
      <c r="EY37" s="306"/>
      <c r="EZ37" s="306"/>
      <c r="FA37" s="306"/>
      <c r="FB37" s="306"/>
      <c r="FC37" s="306"/>
      <c r="FD37" s="306"/>
      <c r="FE37" s="306"/>
      <c r="FF37" s="306"/>
      <c r="FG37" s="306"/>
      <c r="FH37" s="306"/>
      <c r="FI37" s="306"/>
      <c r="FJ37" s="306"/>
      <c r="FK37" s="306"/>
      <c r="FL37" s="306"/>
      <c r="FM37" s="306"/>
      <c r="FN37" s="306"/>
      <c r="FO37" s="306"/>
      <c r="FP37" s="306"/>
      <c r="FQ37" s="306"/>
      <c r="FR37" s="306"/>
      <c r="FS37" s="306"/>
      <c r="FT37" s="306"/>
      <c r="FU37" s="306"/>
      <c r="FV37" s="306"/>
      <c r="FW37" s="306"/>
      <c r="FX37" s="306"/>
      <c r="FY37" s="306"/>
      <c r="FZ37" s="306"/>
      <c r="GA37" s="306"/>
      <c r="GB37" s="306"/>
      <c r="GC37" s="306"/>
      <c r="GD37" s="306"/>
      <c r="GE37" s="306"/>
      <c r="GF37" s="306"/>
      <c r="GG37" s="306"/>
      <c r="GH37" s="306"/>
      <c r="GI37" s="306"/>
      <c r="GJ37" s="306"/>
      <c r="GK37" s="306"/>
      <c r="GL37" s="306"/>
      <c r="GM37" s="306"/>
      <c r="GN37" s="306"/>
      <c r="GO37" s="306"/>
      <c r="GP37" s="306"/>
      <c r="GQ37" s="306"/>
      <c r="GR37" s="306"/>
      <c r="GS37" s="306"/>
      <c r="GT37" s="306"/>
      <c r="GU37" s="306"/>
      <c r="GV37" s="306"/>
      <c r="GW37" s="306"/>
      <c r="GX37" s="306"/>
      <c r="GY37" s="306"/>
      <c r="GZ37" s="306"/>
      <c r="HA37" s="306"/>
      <c r="HB37" s="306"/>
      <c r="HC37" s="306"/>
      <c r="HD37" s="306"/>
      <c r="HE37" s="306"/>
      <c r="HF37" s="306"/>
      <c r="HG37" s="306"/>
      <c r="HH37" s="306"/>
      <c r="HI37" s="306"/>
      <c r="HJ37" s="306"/>
      <c r="HK37" s="306"/>
      <c r="HL37" s="306"/>
      <c r="HM37" s="306"/>
      <c r="HN37" s="306"/>
      <c r="HO37" s="306"/>
      <c r="HP37" s="306"/>
      <c r="HQ37" s="306"/>
      <c r="HR37" s="306"/>
      <c r="HS37" s="306"/>
      <c r="HT37" s="306"/>
      <c r="HU37" s="306"/>
      <c r="HV37" s="306"/>
      <c r="HW37" s="306"/>
      <c r="HX37" s="306"/>
      <c r="HY37" s="306"/>
      <c r="HZ37" s="306"/>
      <c r="IA37" s="306"/>
      <c r="IB37" s="306"/>
      <c r="IC37" s="306"/>
      <c r="ID37" s="306"/>
      <c r="IE37" s="306"/>
      <c r="IF37" s="306"/>
      <c r="IG37" s="306"/>
      <c r="IH37" s="306"/>
      <c r="II37" s="306"/>
      <c r="IJ37" s="306"/>
      <c r="IK37" s="306"/>
      <c r="IL37" s="306"/>
      <c r="IM37" s="306"/>
      <c r="IN37" s="306"/>
      <c r="IO37" s="306"/>
      <c r="IP37" s="306"/>
      <c r="IQ37" s="306"/>
      <c r="IR37" s="306"/>
      <c r="IS37" s="306"/>
      <c r="IT37" s="306"/>
      <c r="IU37" s="306"/>
      <c r="IV37" s="306"/>
    </row>
    <row r="38" spans="1:256" ht="21.75" customHeight="1">
      <c r="A38" s="309" t="s">
        <v>559</v>
      </c>
      <c r="B38" s="308">
        <v>7558</v>
      </c>
      <c r="C38" s="304"/>
      <c r="D38" s="305"/>
      <c r="E38" s="305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306"/>
      <c r="BR38" s="306"/>
      <c r="BS38" s="306"/>
      <c r="BT38" s="306"/>
      <c r="BU38" s="306"/>
      <c r="BV38" s="306"/>
      <c r="BW38" s="306"/>
      <c r="BX38" s="306"/>
      <c r="BY38" s="306"/>
      <c r="BZ38" s="306"/>
      <c r="CA38" s="306"/>
      <c r="CB38" s="306"/>
      <c r="CC38" s="306"/>
      <c r="CD38" s="306"/>
      <c r="CE38" s="306"/>
      <c r="CF38" s="306"/>
      <c r="CG38" s="306"/>
      <c r="CH38" s="306"/>
      <c r="CI38" s="306"/>
      <c r="CJ38" s="306"/>
      <c r="CK38" s="306"/>
      <c r="CL38" s="306"/>
      <c r="CM38" s="306"/>
      <c r="CN38" s="306"/>
      <c r="CO38" s="306"/>
      <c r="CP38" s="306"/>
      <c r="CQ38" s="306"/>
      <c r="CR38" s="306"/>
      <c r="CS38" s="306"/>
      <c r="CT38" s="306"/>
      <c r="CU38" s="306"/>
      <c r="CV38" s="306"/>
      <c r="CW38" s="306"/>
      <c r="CX38" s="306"/>
      <c r="CY38" s="306"/>
      <c r="CZ38" s="306"/>
      <c r="DA38" s="306"/>
      <c r="DB38" s="306"/>
      <c r="DC38" s="306"/>
      <c r="DD38" s="306"/>
      <c r="DE38" s="306"/>
      <c r="DF38" s="306"/>
      <c r="DG38" s="306"/>
      <c r="DH38" s="306"/>
      <c r="DI38" s="306"/>
      <c r="DJ38" s="306"/>
      <c r="DK38" s="306"/>
      <c r="DL38" s="306"/>
      <c r="DM38" s="306"/>
      <c r="DN38" s="306"/>
      <c r="DO38" s="306"/>
      <c r="DP38" s="306"/>
      <c r="DQ38" s="306"/>
      <c r="DR38" s="306"/>
      <c r="DS38" s="306"/>
      <c r="DT38" s="306"/>
      <c r="DU38" s="306"/>
      <c r="DV38" s="306"/>
      <c r="DW38" s="306"/>
      <c r="DX38" s="306"/>
      <c r="DY38" s="306"/>
      <c r="DZ38" s="306"/>
      <c r="EA38" s="306"/>
      <c r="EB38" s="306"/>
      <c r="EC38" s="306"/>
      <c r="ED38" s="306"/>
      <c r="EE38" s="306"/>
      <c r="EF38" s="306"/>
      <c r="EG38" s="306"/>
      <c r="EH38" s="306"/>
      <c r="EI38" s="306"/>
      <c r="EJ38" s="306"/>
      <c r="EK38" s="306"/>
      <c r="EL38" s="306"/>
      <c r="EM38" s="306"/>
      <c r="EN38" s="306"/>
      <c r="EO38" s="306"/>
      <c r="EP38" s="306"/>
      <c r="EQ38" s="306"/>
      <c r="ER38" s="306"/>
      <c r="ES38" s="306"/>
      <c r="ET38" s="306"/>
      <c r="EU38" s="306"/>
      <c r="EV38" s="306"/>
      <c r="EW38" s="306"/>
      <c r="EX38" s="306"/>
      <c r="EY38" s="306"/>
      <c r="EZ38" s="306"/>
      <c r="FA38" s="306"/>
      <c r="FB38" s="306"/>
      <c r="FC38" s="306"/>
      <c r="FD38" s="306"/>
      <c r="FE38" s="306"/>
      <c r="FF38" s="306"/>
      <c r="FG38" s="306"/>
      <c r="FH38" s="306"/>
      <c r="FI38" s="306"/>
      <c r="FJ38" s="306"/>
      <c r="FK38" s="306"/>
      <c r="FL38" s="306"/>
      <c r="FM38" s="306"/>
      <c r="FN38" s="306"/>
      <c r="FO38" s="306"/>
      <c r="FP38" s="306"/>
      <c r="FQ38" s="306"/>
      <c r="FR38" s="306"/>
      <c r="FS38" s="306"/>
      <c r="FT38" s="306"/>
      <c r="FU38" s="306"/>
      <c r="FV38" s="306"/>
      <c r="FW38" s="306"/>
      <c r="FX38" s="306"/>
      <c r="FY38" s="306"/>
      <c r="FZ38" s="306"/>
      <c r="GA38" s="306"/>
      <c r="GB38" s="306"/>
      <c r="GC38" s="306"/>
      <c r="GD38" s="306"/>
      <c r="GE38" s="306"/>
      <c r="GF38" s="306"/>
      <c r="GG38" s="306"/>
      <c r="GH38" s="306"/>
      <c r="GI38" s="306"/>
      <c r="GJ38" s="306"/>
      <c r="GK38" s="306"/>
      <c r="GL38" s="306"/>
      <c r="GM38" s="306"/>
      <c r="GN38" s="306"/>
      <c r="GO38" s="306"/>
      <c r="GP38" s="306"/>
      <c r="GQ38" s="306"/>
      <c r="GR38" s="306"/>
      <c r="GS38" s="306"/>
      <c r="GT38" s="306"/>
      <c r="GU38" s="306"/>
      <c r="GV38" s="306"/>
      <c r="GW38" s="306"/>
      <c r="GX38" s="306"/>
      <c r="GY38" s="306"/>
      <c r="GZ38" s="306"/>
      <c r="HA38" s="306"/>
      <c r="HB38" s="306"/>
      <c r="HC38" s="306"/>
      <c r="HD38" s="306"/>
      <c r="HE38" s="306"/>
      <c r="HF38" s="306"/>
      <c r="HG38" s="306"/>
      <c r="HH38" s="306"/>
      <c r="HI38" s="306"/>
      <c r="HJ38" s="306"/>
      <c r="HK38" s="306"/>
      <c r="HL38" s="306"/>
      <c r="HM38" s="306"/>
      <c r="HN38" s="306"/>
      <c r="HO38" s="306"/>
      <c r="HP38" s="306"/>
      <c r="HQ38" s="306"/>
      <c r="HR38" s="306"/>
      <c r="HS38" s="306"/>
      <c r="HT38" s="306"/>
      <c r="HU38" s="306"/>
      <c r="HV38" s="306"/>
      <c r="HW38" s="306"/>
      <c r="HX38" s="306"/>
      <c r="HY38" s="306"/>
      <c r="HZ38" s="306"/>
      <c r="IA38" s="306"/>
      <c r="IB38" s="306"/>
      <c r="IC38" s="306"/>
      <c r="ID38" s="306"/>
      <c r="IE38" s="306"/>
      <c r="IF38" s="306"/>
      <c r="IG38" s="306"/>
      <c r="IH38" s="306"/>
      <c r="II38" s="306"/>
      <c r="IJ38" s="306"/>
      <c r="IK38" s="306"/>
      <c r="IL38" s="306"/>
      <c r="IM38" s="306"/>
      <c r="IN38" s="306"/>
      <c r="IO38" s="306"/>
      <c r="IP38" s="306"/>
      <c r="IQ38" s="306"/>
      <c r="IR38" s="306"/>
      <c r="IS38" s="306"/>
      <c r="IT38" s="306"/>
      <c r="IU38" s="306"/>
      <c r="IV38" s="306"/>
    </row>
    <row r="39" spans="1:256" ht="21.75" customHeight="1">
      <c r="A39" s="309" t="s">
        <v>298</v>
      </c>
      <c r="B39" s="308">
        <v>7500</v>
      </c>
      <c r="C39" s="304"/>
      <c r="D39" s="305"/>
      <c r="E39" s="305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  <c r="CN39" s="306"/>
      <c r="CO39" s="306"/>
      <c r="CP39" s="306"/>
      <c r="CQ39" s="306"/>
      <c r="CR39" s="306"/>
      <c r="CS39" s="306"/>
      <c r="CT39" s="306"/>
      <c r="CU39" s="306"/>
      <c r="CV39" s="306"/>
      <c r="CW39" s="306"/>
      <c r="CX39" s="306"/>
      <c r="CY39" s="306"/>
      <c r="CZ39" s="306"/>
      <c r="DA39" s="306"/>
      <c r="DB39" s="306"/>
      <c r="DC39" s="306"/>
      <c r="DD39" s="306"/>
      <c r="DE39" s="306"/>
      <c r="DF39" s="306"/>
      <c r="DG39" s="306"/>
      <c r="DH39" s="306"/>
      <c r="DI39" s="306"/>
      <c r="DJ39" s="306"/>
      <c r="DK39" s="306"/>
      <c r="DL39" s="306"/>
      <c r="DM39" s="306"/>
      <c r="DN39" s="306"/>
      <c r="DO39" s="306"/>
      <c r="DP39" s="306"/>
      <c r="DQ39" s="306"/>
      <c r="DR39" s="306"/>
      <c r="DS39" s="306"/>
      <c r="DT39" s="306"/>
      <c r="DU39" s="306"/>
      <c r="DV39" s="306"/>
      <c r="DW39" s="306"/>
      <c r="DX39" s="306"/>
      <c r="DY39" s="306"/>
      <c r="DZ39" s="306"/>
      <c r="EA39" s="306"/>
      <c r="EB39" s="306"/>
      <c r="EC39" s="306"/>
      <c r="ED39" s="306"/>
      <c r="EE39" s="306"/>
      <c r="EF39" s="306"/>
      <c r="EG39" s="306"/>
      <c r="EH39" s="306"/>
      <c r="EI39" s="306"/>
      <c r="EJ39" s="306"/>
      <c r="EK39" s="306"/>
      <c r="EL39" s="306"/>
      <c r="EM39" s="306"/>
      <c r="EN39" s="306"/>
      <c r="EO39" s="306"/>
      <c r="EP39" s="306"/>
      <c r="EQ39" s="306"/>
      <c r="ER39" s="306"/>
      <c r="ES39" s="306"/>
      <c r="ET39" s="306"/>
      <c r="EU39" s="306"/>
      <c r="EV39" s="306"/>
      <c r="EW39" s="306"/>
      <c r="EX39" s="306"/>
      <c r="EY39" s="306"/>
      <c r="EZ39" s="306"/>
      <c r="FA39" s="306"/>
      <c r="FB39" s="306"/>
      <c r="FC39" s="306"/>
      <c r="FD39" s="306"/>
      <c r="FE39" s="306"/>
      <c r="FF39" s="306"/>
      <c r="FG39" s="306"/>
      <c r="FH39" s="306"/>
      <c r="FI39" s="306"/>
      <c r="FJ39" s="306"/>
      <c r="FK39" s="306"/>
      <c r="FL39" s="306"/>
      <c r="FM39" s="306"/>
      <c r="FN39" s="306"/>
      <c r="FO39" s="306"/>
      <c r="FP39" s="306"/>
      <c r="FQ39" s="306"/>
      <c r="FR39" s="306"/>
      <c r="FS39" s="306"/>
      <c r="FT39" s="306"/>
      <c r="FU39" s="306"/>
      <c r="FV39" s="306"/>
      <c r="FW39" s="306"/>
      <c r="FX39" s="306"/>
      <c r="FY39" s="306"/>
      <c r="FZ39" s="306"/>
      <c r="GA39" s="306"/>
      <c r="GB39" s="306"/>
      <c r="GC39" s="306"/>
      <c r="GD39" s="306"/>
      <c r="GE39" s="306"/>
      <c r="GF39" s="306"/>
      <c r="GG39" s="306"/>
      <c r="GH39" s="306"/>
      <c r="GI39" s="306"/>
      <c r="GJ39" s="306"/>
      <c r="GK39" s="306"/>
      <c r="GL39" s="306"/>
      <c r="GM39" s="306"/>
      <c r="GN39" s="306"/>
      <c r="GO39" s="306"/>
      <c r="GP39" s="306"/>
      <c r="GQ39" s="306"/>
      <c r="GR39" s="306"/>
      <c r="GS39" s="306"/>
      <c r="GT39" s="306"/>
      <c r="GU39" s="306"/>
      <c r="GV39" s="306"/>
      <c r="GW39" s="306"/>
      <c r="GX39" s="306"/>
      <c r="GY39" s="306"/>
      <c r="GZ39" s="306"/>
      <c r="HA39" s="306"/>
      <c r="HB39" s="306"/>
      <c r="HC39" s="306"/>
      <c r="HD39" s="306"/>
      <c r="HE39" s="306"/>
      <c r="HF39" s="306"/>
      <c r="HG39" s="306"/>
      <c r="HH39" s="306"/>
      <c r="HI39" s="306"/>
      <c r="HJ39" s="306"/>
      <c r="HK39" s="306"/>
      <c r="HL39" s="306"/>
      <c r="HM39" s="306"/>
      <c r="HN39" s="306"/>
      <c r="HO39" s="306"/>
      <c r="HP39" s="306"/>
      <c r="HQ39" s="306"/>
      <c r="HR39" s="306"/>
      <c r="HS39" s="306"/>
      <c r="HT39" s="306"/>
      <c r="HU39" s="306"/>
      <c r="HV39" s="306"/>
      <c r="HW39" s="306"/>
      <c r="HX39" s="306"/>
      <c r="HY39" s="306"/>
      <c r="HZ39" s="306"/>
      <c r="IA39" s="306"/>
      <c r="IB39" s="306"/>
      <c r="IC39" s="306"/>
      <c r="ID39" s="306"/>
      <c r="IE39" s="306"/>
      <c r="IF39" s="306"/>
      <c r="IG39" s="306"/>
      <c r="IH39" s="306"/>
      <c r="II39" s="306"/>
      <c r="IJ39" s="306"/>
      <c r="IK39" s="306"/>
      <c r="IL39" s="306"/>
      <c r="IM39" s="306"/>
      <c r="IN39" s="306"/>
      <c r="IO39" s="306"/>
      <c r="IP39" s="306"/>
      <c r="IQ39" s="306"/>
      <c r="IR39" s="306"/>
      <c r="IS39" s="306"/>
      <c r="IT39" s="306"/>
      <c r="IU39" s="306"/>
      <c r="IV39" s="306"/>
    </row>
    <row r="40" spans="1:256" ht="21.75" customHeight="1">
      <c r="A40" s="308" t="s">
        <v>299</v>
      </c>
      <c r="B40" s="308">
        <v>14008</v>
      </c>
      <c r="C40" s="304"/>
      <c r="D40" s="305"/>
      <c r="E40" s="305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306"/>
      <c r="CU40" s="306"/>
      <c r="CV40" s="306"/>
      <c r="CW40" s="306"/>
      <c r="CX40" s="306"/>
      <c r="CY40" s="306"/>
      <c r="CZ40" s="306"/>
      <c r="DA40" s="306"/>
      <c r="DB40" s="306"/>
      <c r="DC40" s="306"/>
      <c r="DD40" s="306"/>
      <c r="DE40" s="306"/>
      <c r="DF40" s="306"/>
      <c r="DG40" s="306"/>
      <c r="DH40" s="306"/>
      <c r="DI40" s="306"/>
      <c r="DJ40" s="306"/>
      <c r="DK40" s="306"/>
      <c r="DL40" s="306"/>
      <c r="DM40" s="306"/>
      <c r="DN40" s="306"/>
      <c r="DO40" s="306"/>
      <c r="DP40" s="306"/>
      <c r="DQ40" s="306"/>
      <c r="DR40" s="306"/>
      <c r="DS40" s="306"/>
      <c r="DT40" s="306"/>
      <c r="DU40" s="306"/>
      <c r="DV40" s="306"/>
      <c r="DW40" s="306"/>
      <c r="DX40" s="306"/>
      <c r="DY40" s="306"/>
      <c r="DZ40" s="306"/>
      <c r="EA40" s="306"/>
      <c r="EB40" s="306"/>
      <c r="EC40" s="306"/>
      <c r="ED40" s="306"/>
      <c r="EE40" s="306"/>
      <c r="EF40" s="306"/>
      <c r="EG40" s="306"/>
      <c r="EH40" s="306"/>
      <c r="EI40" s="306"/>
      <c r="EJ40" s="306"/>
      <c r="EK40" s="306"/>
      <c r="EL40" s="306"/>
      <c r="EM40" s="306"/>
      <c r="EN40" s="306"/>
      <c r="EO40" s="306"/>
      <c r="EP40" s="306"/>
      <c r="EQ40" s="306"/>
      <c r="ER40" s="306"/>
      <c r="ES40" s="306"/>
      <c r="ET40" s="306"/>
      <c r="EU40" s="306"/>
      <c r="EV40" s="306"/>
      <c r="EW40" s="306"/>
      <c r="EX40" s="306"/>
      <c r="EY40" s="306"/>
      <c r="EZ40" s="306"/>
      <c r="FA40" s="306"/>
      <c r="FB40" s="306"/>
      <c r="FC40" s="306"/>
      <c r="FD40" s="306"/>
      <c r="FE40" s="306"/>
      <c r="FF40" s="306"/>
      <c r="FG40" s="306"/>
      <c r="FH40" s="306"/>
      <c r="FI40" s="306"/>
      <c r="FJ40" s="306"/>
      <c r="FK40" s="306"/>
      <c r="FL40" s="306"/>
      <c r="FM40" s="306"/>
      <c r="FN40" s="306"/>
      <c r="FO40" s="306"/>
      <c r="FP40" s="306"/>
      <c r="FQ40" s="306"/>
      <c r="FR40" s="306"/>
      <c r="FS40" s="306"/>
      <c r="FT40" s="306"/>
      <c r="FU40" s="306"/>
      <c r="FV40" s="306"/>
      <c r="FW40" s="306"/>
      <c r="FX40" s="306"/>
      <c r="FY40" s="306"/>
      <c r="FZ40" s="306"/>
      <c r="GA40" s="306"/>
      <c r="GB40" s="306"/>
      <c r="GC40" s="306"/>
      <c r="GD40" s="306"/>
      <c r="GE40" s="306"/>
      <c r="GF40" s="306"/>
      <c r="GG40" s="306"/>
      <c r="GH40" s="306"/>
      <c r="GI40" s="306"/>
      <c r="GJ40" s="306"/>
      <c r="GK40" s="306"/>
      <c r="GL40" s="306"/>
      <c r="GM40" s="306"/>
      <c r="GN40" s="306"/>
      <c r="GO40" s="306"/>
      <c r="GP40" s="306"/>
      <c r="GQ40" s="306"/>
      <c r="GR40" s="306"/>
      <c r="GS40" s="306"/>
      <c r="GT40" s="306"/>
      <c r="GU40" s="306"/>
      <c r="GV40" s="306"/>
      <c r="GW40" s="306"/>
      <c r="GX40" s="306"/>
      <c r="GY40" s="306"/>
      <c r="GZ40" s="306"/>
      <c r="HA40" s="306"/>
      <c r="HB40" s="306"/>
      <c r="HC40" s="306"/>
      <c r="HD40" s="306"/>
      <c r="HE40" s="306"/>
      <c r="HF40" s="306"/>
      <c r="HG40" s="306"/>
      <c r="HH40" s="306"/>
      <c r="HI40" s="306"/>
      <c r="HJ40" s="306"/>
      <c r="HK40" s="306"/>
      <c r="HL40" s="306"/>
      <c r="HM40" s="306"/>
      <c r="HN40" s="306"/>
      <c r="HO40" s="306"/>
      <c r="HP40" s="306"/>
      <c r="HQ40" s="306"/>
      <c r="HR40" s="306"/>
      <c r="HS40" s="306"/>
      <c r="HT40" s="306"/>
      <c r="HU40" s="306"/>
      <c r="HV40" s="306"/>
      <c r="HW40" s="306"/>
      <c r="HX40" s="306"/>
      <c r="HY40" s="306"/>
      <c r="HZ40" s="306"/>
      <c r="IA40" s="306"/>
      <c r="IB40" s="306"/>
      <c r="IC40" s="306"/>
      <c r="ID40" s="306"/>
      <c r="IE40" s="306"/>
      <c r="IF40" s="306"/>
      <c r="IG40" s="306"/>
      <c r="IH40" s="306"/>
      <c r="II40" s="306"/>
      <c r="IJ40" s="306"/>
      <c r="IK40" s="306"/>
      <c r="IL40" s="306"/>
      <c r="IM40" s="306"/>
      <c r="IN40" s="306"/>
      <c r="IO40" s="306"/>
      <c r="IP40" s="306"/>
      <c r="IQ40" s="306"/>
      <c r="IR40" s="306"/>
      <c r="IS40" s="306"/>
      <c r="IT40" s="306"/>
      <c r="IU40" s="306"/>
      <c r="IV40" s="306"/>
    </row>
    <row r="41" spans="1:256" ht="21.75" customHeight="1">
      <c r="A41" s="309" t="s">
        <v>301</v>
      </c>
      <c r="B41" s="308">
        <v>5297</v>
      </c>
      <c r="C41" s="304"/>
      <c r="D41" s="305"/>
      <c r="E41" s="305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  <c r="CT41" s="306"/>
      <c r="CU41" s="306"/>
      <c r="CV41" s="306"/>
      <c r="CW41" s="306"/>
      <c r="CX41" s="306"/>
      <c r="CY41" s="306"/>
      <c r="CZ41" s="306"/>
      <c r="DA41" s="306"/>
      <c r="DB41" s="306"/>
      <c r="DC41" s="306"/>
      <c r="DD41" s="306"/>
      <c r="DE41" s="306"/>
      <c r="DF41" s="306"/>
      <c r="DG41" s="306"/>
      <c r="DH41" s="306"/>
      <c r="DI41" s="306"/>
      <c r="DJ41" s="306"/>
      <c r="DK41" s="306"/>
      <c r="DL41" s="306"/>
      <c r="DM41" s="306"/>
      <c r="DN41" s="306"/>
      <c r="DO41" s="306"/>
      <c r="DP41" s="306"/>
      <c r="DQ41" s="306"/>
      <c r="DR41" s="306"/>
      <c r="DS41" s="306"/>
      <c r="DT41" s="306"/>
      <c r="DU41" s="306"/>
      <c r="DV41" s="306"/>
      <c r="DW41" s="306"/>
      <c r="DX41" s="306"/>
      <c r="DY41" s="306"/>
      <c r="DZ41" s="306"/>
      <c r="EA41" s="306"/>
      <c r="EB41" s="306"/>
      <c r="EC41" s="306"/>
      <c r="ED41" s="306"/>
      <c r="EE41" s="306"/>
      <c r="EF41" s="306"/>
      <c r="EG41" s="306"/>
      <c r="EH41" s="306"/>
      <c r="EI41" s="306"/>
      <c r="EJ41" s="306"/>
      <c r="EK41" s="306"/>
      <c r="EL41" s="306"/>
      <c r="EM41" s="306"/>
      <c r="EN41" s="306"/>
      <c r="EO41" s="306"/>
      <c r="EP41" s="306"/>
      <c r="EQ41" s="306"/>
      <c r="ER41" s="306"/>
      <c r="ES41" s="306"/>
      <c r="ET41" s="306"/>
      <c r="EU41" s="306"/>
      <c r="EV41" s="306"/>
      <c r="EW41" s="306"/>
      <c r="EX41" s="306"/>
      <c r="EY41" s="306"/>
      <c r="EZ41" s="306"/>
      <c r="FA41" s="306"/>
      <c r="FB41" s="306"/>
      <c r="FC41" s="306"/>
      <c r="FD41" s="306"/>
      <c r="FE41" s="306"/>
      <c r="FF41" s="306"/>
      <c r="FG41" s="306"/>
      <c r="FH41" s="306"/>
      <c r="FI41" s="306"/>
      <c r="FJ41" s="306"/>
      <c r="FK41" s="306"/>
      <c r="FL41" s="306"/>
      <c r="FM41" s="306"/>
      <c r="FN41" s="306"/>
      <c r="FO41" s="306"/>
      <c r="FP41" s="306"/>
      <c r="FQ41" s="306"/>
      <c r="FR41" s="306"/>
      <c r="FS41" s="306"/>
      <c r="FT41" s="306"/>
      <c r="FU41" s="306"/>
      <c r="FV41" s="306"/>
      <c r="FW41" s="306"/>
      <c r="FX41" s="306"/>
      <c r="FY41" s="306"/>
      <c r="FZ41" s="306"/>
      <c r="GA41" s="306"/>
      <c r="GB41" s="306"/>
      <c r="GC41" s="306"/>
      <c r="GD41" s="306"/>
      <c r="GE41" s="306"/>
      <c r="GF41" s="306"/>
      <c r="GG41" s="306"/>
      <c r="GH41" s="306"/>
      <c r="GI41" s="306"/>
      <c r="GJ41" s="306"/>
      <c r="GK41" s="306"/>
      <c r="GL41" s="306"/>
      <c r="GM41" s="306"/>
      <c r="GN41" s="306"/>
      <c r="GO41" s="306"/>
      <c r="GP41" s="306"/>
      <c r="GQ41" s="306"/>
      <c r="GR41" s="306"/>
      <c r="GS41" s="306"/>
      <c r="GT41" s="306"/>
      <c r="GU41" s="306"/>
      <c r="GV41" s="306"/>
      <c r="GW41" s="306"/>
      <c r="GX41" s="306"/>
      <c r="GY41" s="306"/>
      <c r="GZ41" s="306"/>
      <c r="HA41" s="306"/>
      <c r="HB41" s="306"/>
      <c r="HC41" s="306"/>
      <c r="HD41" s="306"/>
      <c r="HE41" s="306"/>
      <c r="HF41" s="306"/>
      <c r="HG41" s="306"/>
      <c r="HH41" s="306"/>
      <c r="HI41" s="306"/>
      <c r="HJ41" s="306"/>
      <c r="HK41" s="306"/>
      <c r="HL41" s="306"/>
      <c r="HM41" s="306"/>
      <c r="HN41" s="306"/>
      <c r="HO41" s="306"/>
      <c r="HP41" s="306"/>
      <c r="HQ41" s="306"/>
      <c r="HR41" s="306"/>
      <c r="HS41" s="306"/>
      <c r="HT41" s="306"/>
      <c r="HU41" s="306"/>
      <c r="HV41" s="306"/>
      <c r="HW41" s="306"/>
      <c r="HX41" s="306"/>
      <c r="HY41" s="306"/>
      <c r="HZ41" s="306"/>
      <c r="IA41" s="306"/>
      <c r="IB41" s="306"/>
      <c r="IC41" s="306"/>
      <c r="ID41" s="306"/>
      <c r="IE41" s="306"/>
      <c r="IF41" s="306"/>
      <c r="IG41" s="306"/>
      <c r="IH41" s="306"/>
      <c r="II41" s="306"/>
      <c r="IJ41" s="306"/>
      <c r="IK41" s="306"/>
      <c r="IL41" s="306"/>
      <c r="IM41" s="306"/>
      <c r="IN41" s="306"/>
      <c r="IO41" s="306"/>
      <c r="IP41" s="306"/>
      <c r="IQ41" s="306"/>
      <c r="IR41" s="306"/>
      <c r="IS41" s="306"/>
      <c r="IT41" s="306"/>
      <c r="IU41" s="306"/>
      <c r="IV41" s="306"/>
    </row>
    <row r="42" spans="1:256" ht="21.75" customHeight="1">
      <c r="A42" s="308" t="s">
        <v>300</v>
      </c>
      <c r="B42" s="308">
        <v>1825</v>
      </c>
      <c r="C42" s="304"/>
      <c r="D42" s="305"/>
      <c r="E42" s="305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306"/>
      <c r="EO42" s="306"/>
      <c r="EP42" s="306"/>
      <c r="EQ42" s="306"/>
      <c r="ER42" s="306"/>
      <c r="ES42" s="306"/>
      <c r="ET42" s="306"/>
      <c r="EU42" s="306"/>
      <c r="EV42" s="306"/>
      <c r="EW42" s="306"/>
      <c r="EX42" s="306"/>
      <c r="EY42" s="306"/>
      <c r="EZ42" s="306"/>
      <c r="FA42" s="306"/>
      <c r="FB42" s="306"/>
      <c r="FC42" s="306"/>
      <c r="FD42" s="306"/>
      <c r="FE42" s="306"/>
      <c r="FF42" s="306"/>
      <c r="FG42" s="306"/>
      <c r="FH42" s="306"/>
      <c r="FI42" s="306"/>
      <c r="FJ42" s="306"/>
      <c r="FK42" s="306"/>
      <c r="FL42" s="306"/>
      <c r="FM42" s="306"/>
      <c r="FN42" s="306"/>
      <c r="FO42" s="306"/>
      <c r="FP42" s="306"/>
      <c r="FQ42" s="306"/>
      <c r="FR42" s="306"/>
      <c r="FS42" s="306"/>
      <c r="FT42" s="306"/>
      <c r="FU42" s="306"/>
      <c r="FV42" s="306"/>
      <c r="FW42" s="306"/>
      <c r="FX42" s="306"/>
      <c r="FY42" s="306"/>
      <c r="FZ42" s="306"/>
      <c r="GA42" s="306"/>
      <c r="GB42" s="306"/>
      <c r="GC42" s="306"/>
      <c r="GD42" s="306"/>
      <c r="GE42" s="306"/>
      <c r="GF42" s="306"/>
      <c r="GG42" s="306"/>
      <c r="GH42" s="306"/>
      <c r="GI42" s="306"/>
      <c r="GJ42" s="306"/>
      <c r="GK42" s="306"/>
      <c r="GL42" s="306"/>
      <c r="GM42" s="306"/>
      <c r="GN42" s="306"/>
      <c r="GO42" s="306"/>
      <c r="GP42" s="306"/>
      <c r="GQ42" s="306"/>
      <c r="GR42" s="306"/>
      <c r="GS42" s="306"/>
      <c r="GT42" s="306"/>
      <c r="GU42" s="306"/>
      <c r="GV42" s="306"/>
      <c r="GW42" s="306"/>
      <c r="GX42" s="306"/>
      <c r="GY42" s="306"/>
      <c r="GZ42" s="306"/>
      <c r="HA42" s="306"/>
      <c r="HB42" s="306"/>
      <c r="HC42" s="306"/>
      <c r="HD42" s="306"/>
      <c r="HE42" s="306"/>
      <c r="HF42" s="306"/>
      <c r="HG42" s="306"/>
      <c r="HH42" s="306"/>
      <c r="HI42" s="306"/>
      <c r="HJ42" s="306"/>
      <c r="HK42" s="306"/>
      <c r="HL42" s="306"/>
      <c r="HM42" s="306"/>
      <c r="HN42" s="306"/>
      <c r="HO42" s="306"/>
      <c r="HP42" s="306"/>
      <c r="HQ42" s="306"/>
      <c r="HR42" s="306"/>
      <c r="HS42" s="306"/>
      <c r="HT42" s="306"/>
      <c r="HU42" s="306"/>
      <c r="HV42" s="306"/>
      <c r="HW42" s="306"/>
      <c r="HX42" s="306"/>
      <c r="HY42" s="306"/>
      <c r="HZ42" s="306"/>
      <c r="IA42" s="306"/>
      <c r="IB42" s="306"/>
      <c r="IC42" s="306"/>
      <c r="ID42" s="306"/>
      <c r="IE42" s="306"/>
      <c r="IF42" s="306"/>
      <c r="IG42" s="306"/>
      <c r="IH42" s="306"/>
      <c r="II42" s="306"/>
      <c r="IJ42" s="306"/>
      <c r="IK42" s="306"/>
      <c r="IL42" s="306"/>
      <c r="IM42" s="306"/>
      <c r="IN42" s="306"/>
      <c r="IO42" s="306"/>
      <c r="IP42" s="306"/>
      <c r="IQ42" s="306"/>
      <c r="IR42" s="306"/>
      <c r="IS42" s="306"/>
      <c r="IT42" s="306"/>
      <c r="IU42" s="306"/>
      <c r="IV42" s="306"/>
    </row>
    <row r="43" spans="1:256" ht="21.75" customHeight="1">
      <c r="A43" s="309" t="s">
        <v>302</v>
      </c>
      <c r="B43" s="308">
        <v>3800</v>
      </c>
      <c r="C43" s="304"/>
      <c r="D43" s="305"/>
      <c r="E43" s="305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306"/>
      <c r="CZ43" s="306"/>
      <c r="DA43" s="306"/>
      <c r="DB43" s="306"/>
      <c r="DC43" s="306"/>
      <c r="DD43" s="306"/>
      <c r="DE43" s="306"/>
      <c r="DF43" s="306"/>
      <c r="DG43" s="306"/>
      <c r="DH43" s="306"/>
      <c r="DI43" s="306"/>
      <c r="DJ43" s="306"/>
      <c r="DK43" s="306"/>
      <c r="DL43" s="306"/>
      <c r="DM43" s="306"/>
      <c r="DN43" s="306"/>
      <c r="DO43" s="306"/>
      <c r="DP43" s="306"/>
      <c r="DQ43" s="306"/>
      <c r="DR43" s="306"/>
      <c r="DS43" s="306"/>
      <c r="DT43" s="306"/>
      <c r="DU43" s="306"/>
      <c r="DV43" s="306"/>
      <c r="DW43" s="306"/>
      <c r="DX43" s="306"/>
      <c r="DY43" s="306"/>
      <c r="DZ43" s="306"/>
      <c r="EA43" s="306"/>
      <c r="EB43" s="306"/>
      <c r="EC43" s="306"/>
      <c r="ED43" s="306"/>
      <c r="EE43" s="306"/>
      <c r="EF43" s="306"/>
      <c r="EG43" s="306"/>
      <c r="EH43" s="306"/>
      <c r="EI43" s="306"/>
      <c r="EJ43" s="306"/>
      <c r="EK43" s="306"/>
      <c r="EL43" s="306"/>
      <c r="EM43" s="306"/>
      <c r="EN43" s="306"/>
      <c r="EO43" s="306"/>
      <c r="EP43" s="306"/>
      <c r="EQ43" s="306"/>
      <c r="ER43" s="306"/>
      <c r="ES43" s="306"/>
      <c r="ET43" s="306"/>
      <c r="EU43" s="306"/>
      <c r="EV43" s="306"/>
      <c r="EW43" s="306"/>
      <c r="EX43" s="306"/>
      <c r="EY43" s="306"/>
      <c r="EZ43" s="306"/>
      <c r="FA43" s="306"/>
      <c r="FB43" s="306"/>
      <c r="FC43" s="306"/>
      <c r="FD43" s="306"/>
      <c r="FE43" s="306"/>
      <c r="FF43" s="306"/>
      <c r="FG43" s="306"/>
      <c r="FH43" s="306"/>
      <c r="FI43" s="306"/>
      <c r="FJ43" s="306"/>
      <c r="FK43" s="306"/>
      <c r="FL43" s="306"/>
      <c r="FM43" s="306"/>
      <c r="FN43" s="306"/>
      <c r="FO43" s="306"/>
      <c r="FP43" s="306"/>
      <c r="FQ43" s="306"/>
      <c r="FR43" s="306"/>
      <c r="FS43" s="306"/>
      <c r="FT43" s="306"/>
      <c r="FU43" s="306"/>
      <c r="FV43" s="306"/>
      <c r="FW43" s="306"/>
      <c r="FX43" s="306"/>
      <c r="FY43" s="306"/>
      <c r="FZ43" s="306"/>
      <c r="GA43" s="306"/>
      <c r="GB43" s="306"/>
      <c r="GC43" s="306"/>
      <c r="GD43" s="306"/>
      <c r="GE43" s="306"/>
      <c r="GF43" s="306"/>
      <c r="GG43" s="306"/>
      <c r="GH43" s="306"/>
      <c r="GI43" s="306"/>
      <c r="GJ43" s="306"/>
      <c r="GK43" s="306"/>
      <c r="GL43" s="306"/>
      <c r="GM43" s="306"/>
      <c r="GN43" s="306"/>
      <c r="GO43" s="306"/>
      <c r="GP43" s="306"/>
      <c r="GQ43" s="306"/>
      <c r="GR43" s="306"/>
      <c r="GS43" s="306"/>
      <c r="GT43" s="306"/>
      <c r="GU43" s="306"/>
      <c r="GV43" s="306"/>
      <c r="GW43" s="306"/>
      <c r="GX43" s="306"/>
      <c r="GY43" s="306"/>
      <c r="GZ43" s="306"/>
      <c r="HA43" s="306"/>
      <c r="HB43" s="306"/>
      <c r="HC43" s="306"/>
      <c r="HD43" s="306"/>
      <c r="HE43" s="306"/>
      <c r="HF43" s="306"/>
      <c r="HG43" s="306"/>
      <c r="HH43" s="306"/>
      <c r="HI43" s="306"/>
      <c r="HJ43" s="306"/>
      <c r="HK43" s="306"/>
      <c r="HL43" s="306"/>
      <c r="HM43" s="306"/>
      <c r="HN43" s="306"/>
      <c r="HO43" s="306"/>
      <c r="HP43" s="306"/>
      <c r="HQ43" s="306"/>
      <c r="HR43" s="306"/>
      <c r="HS43" s="306"/>
      <c r="HT43" s="306"/>
      <c r="HU43" s="306"/>
      <c r="HV43" s="306"/>
      <c r="HW43" s="306"/>
      <c r="HX43" s="306"/>
      <c r="HY43" s="306"/>
      <c r="HZ43" s="306"/>
      <c r="IA43" s="306"/>
      <c r="IB43" s="306"/>
      <c r="IC43" s="306"/>
      <c r="ID43" s="306"/>
      <c r="IE43" s="306"/>
      <c r="IF43" s="306"/>
      <c r="IG43" s="306"/>
      <c r="IH43" s="306"/>
      <c r="II43" s="306"/>
      <c r="IJ43" s="306"/>
      <c r="IK43" s="306"/>
      <c r="IL43" s="306"/>
      <c r="IM43" s="306"/>
      <c r="IN43" s="306"/>
      <c r="IO43" s="306"/>
      <c r="IP43" s="306"/>
      <c r="IQ43" s="306"/>
      <c r="IR43" s="306"/>
      <c r="IS43" s="306"/>
      <c r="IT43" s="306"/>
      <c r="IU43" s="306"/>
      <c r="IV43" s="306"/>
    </row>
    <row r="44" spans="1:256" ht="21.75" customHeight="1">
      <c r="A44" s="309" t="s">
        <v>303</v>
      </c>
      <c r="B44" s="308">
        <v>262203.27</v>
      </c>
      <c r="C44" s="304"/>
      <c r="D44" s="305"/>
      <c r="E44" s="305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  <c r="CN44" s="306"/>
      <c r="CO44" s="306"/>
      <c r="CP44" s="306"/>
      <c r="CQ44" s="306"/>
      <c r="CR44" s="306"/>
      <c r="CS44" s="306"/>
      <c r="CT44" s="306"/>
      <c r="CU44" s="306"/>
      <c r="CV44" s="306"/>
      <c r="CW44" s="306"/>
      <c r="CX44" s="306"/>
      <c r="CY44" s="306"/>
      <c r="CZ44" s="306"/>
      <c r="DA44" s="306"/>
      <c r="DB44" s="306"/>
      <c r="DC44" s="306"/>
      <c r="DD44" s="306"/>
      <c r="DE44" s="306"/>
      <c r="DF44" s="306"/>
      <c r="DG44" s="306"/>
      <c r="DH44" s="306"/>
      <c r="DI44" s="306"/>
      <c r="DJ44" s="306"/>
      <c r="DK44" s="306"/>
      <c r="DL44" s="306"/>
      <c r="DM44" s="306"/>
      <c r="DN44" s="306"/>
      <c r="DO44" s="306"/>
      <c r="DP44" s="306"/>
      <c r="DQ44" s="306"/>
      <c r="DR44" s="306"/>
      <c r="DS44" s="306"/>
      <c r="DT44" s="306"/>
      <c r="DU44" s="306"/>
      <c r="DV44" s="306"/>
      <c r="DW44" s="306"/>
      <c r="DX44" s="306"/>
      <c r="DY44" s="306"/>
      <c r="DZ44" s="306"/>
      <c r="EA44" s="306"/>
      <c r="EB44" s="306"/>
      <c r="EC44" s="306"/>
      <c r="ED44" s="306"/>
      <c r="EE44" s="306"/>
      <c r="EF44" s="306"/>
      <c r="EG44" s="306"/>
      <c r="EH44" s="306"/>
      <c r="EI44" s="306"/>
      <c r="EJ44" s="306"/>
      <c r="EK44" s="306"/>
      <c r="EL44" s="306"/>
      <c r="EM44" s="306"/>
      <c r="EN44" s="306"/>
      <c r="EO44" s="306"/>
      <c r="EP44" s="306"/>
      <c r="EQ44" s="306"/>
      <c r="ER44" s="306"/>
      <c r="ES44" s="306"/>
      <c r="ET44" s="306"/>
      <c r="EU44" s="306"/>
      <c r="EV44" s="306"/>
      <c r="EW44" s="306"/>
      <c r="EX44" s="306"/>
      <c r="EY44" s="306"/>
      <c r="EZ44" s="306"/>
      <c r="FA44" s="306"/>
      <c r="FB44" s="306"/>
      <c r="FC44" s="306"/>
      <c r="FD44" s="306"/>
      <c r="FE44" s="306"/>
      <c r="FF44" s="306"/>
      <c r="FG44" s="306"/>
      <c r="FH44" s="306"/>
      <c r="FI44" s="306"/>
      <c r="FJ44" s="306"/>
      <c r="FK44" s="306"/>
      <c r="FL44" s="306"/>
      <c r="FM44" s="306"/>
      <c r="FN44" s="306"/>
      <c r="FO44" s="306"/>
      <c r="FP44" s="306"/>
      <c r="FQ44" s="306"/>
      <c r="FR44" s="306"/>
      <c r="FS44" s="306"/>
      <c r="FT44" s="306"/>
      <c r="FU44" s="306"/>
      <c r="FV44" s="306"/>
      <c r="FW44" s="306"/>
      <c r="FX44" s="306"/>
      <c r="FY44" s="306"/>
      <c r="FZ44" s="306"/>
      <c r="GA44" s="306"/>
      <c r="GB44" s="306"/>
      <c r="GC44" s="306"/>
      <c r="GD44" s="306"/>
      <c r="GE44" s="306"/>
      <c r="GF44" s="306"/>
      <c r="GG44" s="306"/>
      <c r="GH44" s="306"/>
      <c r="GI44" s="306"/>
      <c r="GJ44" s="306"/>
      <c r="GK44" s="306"/>
      <c r="GL44" s="306"/>
      <c r="GM44" s="306"/>
      <c r="GN44" s="306"/>
      <c r="GO44" s="306"/>
      <c r="GP44" s="306"/>
      <c r="GQ44" s="306"/>
      <c r="GR44" s="306"/>
      <c r="GS44" s="306"/>
      <c r="GT44" s="306"/>
      <c r="GU44" s="306"/>
      <c r="GV44" s="306"/>
      <c r="GW44" s="306"/>
      <c r="GX44" s="306"/>
      <c r="GY44" s="306"/>
      <c r="GZ44" s="306"/>
      <c r="HA44" s="306"/>
      <c r="HB44" s="306"/>
      <c r="HC44" s="306"/>
      <c r="HD44" s="306"/>
      <c r="HE44" s="306"/>
      <c r="HF44" s="306"/>
      <c r="HG44" s="306"/>
      <c r="HH44" s="306"/>
      <c r="HI44" s="306"/>
      <c r="HJ44" s="306"/>
      <c r="HK44" s="306"/>
      <c r="HL44" s="306"/>
      <c r="HM44" s="306"/>
      <c r="HN44" s="306"/>
      <c r="HO44" s="306"/>
      <c r="HP44" s="306"/>
      <c r="HQ44" s="306"/>
      <c r="HR44" s="306"/>
      <c r="HS44" s="306"/>
      <c r="HT44" s="306"/>
      <c r="HU44" s="306"/>
      <c r="HV44" s="306"/>
      <c r="HW44" s="306"/>
      <c r="HX44" s="306"/>
      <c r="HY44" s="306"/>
      <c r="HZ44" s="306"/>
      <c r="IA44" s="306"/>
      <c r="IB44" s="306"/>
      <c r="IC44" s="306"/>
      <c r="ID44" s="306"/>
      <c r="IE44" s="306"/>
      <c r="IF44" s="306"/>
      <c r="IG44" s="306"/>
      <c r="IH44" s="306"/>
      <c r="II44" s="306"/>
      <c r="IJ44" s="306"/>
      <c r="IK44" s="306"/>
      <c r="IL44" s="306"/>
      <c r="IM44" s="306"/>
      <c r="IN44" s="306"/>
      <c r="IO44" s="306"/>
      <c r="IP44" s="306"/>
      <c r="IQ44" s="306"/>
      <c r="IR44" s="306"/>
      <c r="IS44" s="306"/>
      <c r="IT44" s="306"/>
      <c r="IU44" s="306"/>
      <c r="IV44" s="306"/>
    </row>
    <row r="45" spans="1:256" ht="21.75" customHeight="1">
      <c r="A45" s="299" t="s">
        <v>304</v>
      </c>
      <c r="B45" s="308">
        <v>12868</v>
      </c>
      <c r="C45" s="304"/>
      <c r="D45" s="305"/>
      <c r="E45" s="305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  <c r="CN45" s="306"/>
      <c r="CO45" s="306"/>
      <c r="CP45" s="306"/>
      <c r="CQ45" s="306"/>
      <c r="CR45" s="306"/>
      <c r="CS45" s="306"/>
      <c r="CT45" s="306"/>
      <c r="CU45" s="306"/>
      <c r="CV45" s="306"/>
      <c r="CW45" s="306"/>
      <c r="CX45" s="306"/>
      <c r="CY45" s="306"/>
      <c r="CZ45" s="306"/>
      <c r="DA45" s="306"/>
      <c r="DB45" s="306"/>
      <c r="DC45" s="306"/>
      <c r="DD45" s="306"/>
      <c r="DE45" s="306"/>
      <c r="DF45" s="306"/>
      <c r="DG45" s="306"/>
      <c r="DH45" s="306"/>
      <c r="DI45" s="306"/>
      <c r="DJ45" s="306"/>
      <c r="DK45" s="306"/>
      <c r="DL45" s="306"/>
      <c r="DM45" s="306"/>
      <c r="DN45" s="306"/>
      <c r="DO45" s="306"/>
      <c r="DP45" s="306"/>
      <c r="DQ45" s="306"/>
      <c r="DR45" s="306"/>
      <c r="DS45" s="306"/>
      <c r="DT45" s="306"/>
      <c r="DU45" s="306"/>
      <c r="DV45" s="306"/>
      <c r="DW45" s="306"/>
      <c r="DX45" s="306"/>
      <c r="DY45" s="306"/>
      <c r="DZ45" s="306"/>
      <c r="EA45" s="306"/>
      <c r="EB45" s="306"/>
      <c r="EC45" s="306"/>
      <c r="ED45" s="306"/>
      <c r="EE45" s="306"/>
      <c r="EF45" s="306"/>
      <c r="EG45" s="306"/>
      <c r="EH45" s="306"/>
      <c r="EI45" s="306"/>
      <c r="EJ45" s="306"/>
      <c r="EK45" s="306"/>
      <c r="EL45" s="306"/>
      <c r="EM45" s="306"/>
      <c r="EN45" s="306"/>
      <c r="EO45" s="306"/>
      <c r="EP45" s="306"/>
      <c r="EQ45" s="306"/>
      <c r="ER45" s="306"/>
      <c r="ES45" s="306"/>
      <c r="ET45" s="306"/>
      <c r="EU45" s="306"/>
      <c r="EV45" s="306"/>
      <c r="EW45" s="306"/>
      <c r="EX45" s="306"/>
      <c r="EY45" s="306"/>
      <c r="EZ45" s="306"/>
      <c r="FA45" s="306"/>
      <c r="FB45" s="306"/>
      <c r="FC45" s="306"/>
      <c r="FD45" s="306"/>
      <c r="FE45" s="306"/>
      <c r="FF45" s="306"/>
      <c r="FG45" s="306"/>
      <c r="FH45" s="306"/>
      <c r="FI45" s="306"/>
      <c r="FJ45" s="306"/>
      <c r="FK45" s="306"/>
      <c r="FL45" s="306"/>
      <c r="FM45" s="306"/>
      <c r="FN45" s="306"/>
      <c r="FO45" s="306"/>
      <c r="FP45" s="306"/>
      <c r="FQ45" s="306"/>
      <c r="FR45" s="306"/>
      <c r="FS45" s="306"/>
      <c r="FT45" s="306"/>
      <c r="FU45" s="306"/>
      <c r="FV45" s="306"/>
      <c r="FW45" s="306"/>
      <c r="FX45" s="306"/>
      <c r="FY45" s="306"/>
      <c r="FZ45" s="306"/>
      <c r="GA45" s="306"/>
      <c r="GB45" s="306"/>
      <c r="GC45" s="306"/>
      <c r="GD45" s="306"/>
      <c r="GE45" s="306"/>
      <c r="GF45" s="306"/>
      <c r="GG45" s="306"/>
      <c r="GH45" s="306"/>
      <c r="GI45" s="306"/>
      <c r="GJ45" s="306"/>
      <c r="GK45" s="306"/>
      <c r="GL45" s="306"/>
      <c r="GM45" s="306"/>
      <c r="GN45" s="306"/>
      <c r="GO45" s="306"/>
      <c r="GP45" s="306"/>
      <c r="GQ45" s="306"/>
      <c r="GR45" s="306"/>
      <c r="GS45" s="306"/>
      <c r="GT45" s="306"/>
      <c r="GU45" s="306"/>
      <c r="GV45" s="306"/>
      <c r="GW45" s="306"/>
      <c r="GX45" s="306"/>
      <c r="GY45" s="306"/>
      <c r="GZ45" s="306"/>
      <c r="HA45" s="306"/>
      <c r="HB45" s="306"/>
      <c r="HC45" s="306"/>
      <c r="HD45" s="306"/>
      <c r="HE45" s="306"/>
      <c r="HF45" s="306"/>
      <c r="HG45" s="306"/>
      <c r="HH45" s="306"/>
      <c r="HI45" s="306"/>
      <c r="HJ45" s="306"/>
      <c r="HK45" s="306"/>
      <c r="HL45" s="306"/>
      <c r="HM45" s="306"/>
      <c r="HN45" s="306"/>
      <c r="HO45" s="306"/>
      <c r="HP45" s="306"/>
      <c r="HQ45" s="306"/>
      <c r="HR45" s="306"/>
      <c r="HS45" s="306"/>
      <c r="HT45" s="306"/>
      <c r="HU45" s="306"/>
      <c r="HV45" s="306"/>
      <c r="HW45" s="306"/>
      <c r="HX45" s="306"/>
      <c r="HY45" s="306"/>
      <c r="HZ45" s="306"/>
      <c r="IA45" s="306"/>
      <c r="IB45" s="306"/>
      <c r="IC45" s="306"/>
      <c r="ID45" s="306"/>
      <c r="IE45" s="306"/>
      <c r="IF45" s="306"/>
      <c r="IG45" s="306"/>
      <c r="IH45" s="306"/>
      <c r="II45" s="306"/>
      <c r="IJ45" s="306"/>
      <c r="IK45" s="306"/>
      <c r="IL45" s="306"/>
      <c r="IM45" s="306"/>
      <c r="IN45" s="306"/>
      <c r="IO45" s="306"/>
      <c r="IP45" s="306"/>
      <c r="IQ45" s="306"/>
      <c r="IR45" s="306"/>
      <c r="IS45" s="306"/>
      <c r="IT45" s="306"/>
      <c r="IU45" s="306"/>
      <c r="IV45" s="306"/>
    </row>
    <row r="46" spans="1:256" ht="21.75" customHeight="1">
      <c r="A46" s="311" t="s">
        <v>305</v>
      </c>
      <c r="B46" s="311">
        <v>15000</v>
      </c>
      <c r="C46" s="296"/>
      <c r="D46" s="297"/>
      <c r="E46" s="297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298"/>
      <c r="CG46" s="298"/>
      <c r="CH46" s="298"/>
      <c r="CI46" s="298"/>
      <c r="CJ46" s="298"/>
      <c r="CK46" s="298"/>
      <c r="CL46" s="298"/>
      <c r="CM46" s="298"/>
      <c r="CN46" s="298"/>
      <c r="CO46" s="298"/>
      <c r="CP46" s="298"/>
      <c r="CQ46" s="298"/>
      <c r="CR46" s="298"/>
      <c r="CS46" s="298"/>
      <c r="CT46" s="298"/>
      <c r="CU46" s="298"/>
      <c r="CV46" s="298"/>
      <c r="CW46" s="298"/>
      <c r="CX46" s="298"/>
      <c r="CY46" s="298"/>
      <c r="CZ46" s="298"/>
      <c r="DA46" s="298"/>
      <c r="DB46" s="298"/>
      <c r="DC46" s="298"/>
      <c r="DD46" s="298"/>
      <c r="DE46" s="298"/>
      <c r="DF46" s="298"/>
      <c r="DG46" s="298"/>
      <c r="DH46" s="298"/>
      <c r="DI46" s="298"/>
      <c r="DJ46" s="298"/>
      <c r="DK46" s="298"/>
      <c r="DL46" s="298"/>
      <c r="DM46" s="298"/>
      <c r="DN46" s="298"/>
      <c r="DO46" s="298"/>
      <c r="DP46" s="298"/>
      <c r="DQ46" s="298"/>
      <c r="DR46" s="298"/>
      <c r="DS46" s="298"/>
      <c r="DT46" s="298"/>
      <c r="DU46" s="298"/>
      <c r="DV46" s="298"/>
      <c r="DW46" s="298"/>
      <c r="DX46" s="298"/>
      <c r="DY46" s="298"/>
      <c r="DZ46" s="298"/>
      <c r="EA46" s="298"/>
      <c r="EB46" s="298"/>
      <c r="EC46" s="298"/>
      <c r="ED46" s="298"/>
      <c r="EE46" s="298"/>
      <c r="EF46" s="298"/>
      <c r="EG46" s="298"/>
      <c r="EH46" s="298"/>
      <c r="EI46" s="298"/>
      <c r="EJ46" s="298"/>
      <c r="EK46" s="298"/>
      <c r="EL46" s="298"/>
      <c r="EM46" s="298"/>
      <c r="EN46" s="298"/>
      <c r="EO46" s="298"/>
      <c r="EP46" s="298"/>
      <c r="EQ46" s="298"/>
      <c r="ER46" s="298"/>
      <c r="ES46" s="298"/>
      <c r="ET46" s="298"/>
      <c r="EU46" s="298"/>
      <c r="EV46" s="298"/>
      <c r="EW46" s="298"/>
      <c r="EX46" s="298"/>
      <c r="EY46" s="298"/>
      <c r="EZ46" s="298"/>
      <c r="FA46" s="298"/>
      <c r="FB46" s="298"/>
      <c r="FC46" s="298"/>
      <c r="FD46" s="298"/>
      <c r="FE46" s="298"/>
      <c r="FF46" s="298"/>
      <c r="FG46" s="298"/>
      <c r="FH46" s="298"/>
      <c r="FI46" s="298"/>
      <c r="FJ46" s="298"/>
      <c r="FK46" s="298"/>
      <c r="FL46" s="298"/>
      <c r="FM46" s="298"/>
      <c r="FN46" s="298"/>
      <c r="FO46" s="298"/>
      <c r="FP46" s="298"/>
      <c r="FQ46" s="298"/>
      <c r="FR46" s="298"/>
      <c r="FS46" s="298"/>
      <c r="FT46" s="298"/>
      <c r="FU46" s="298"/>
      <c r="FV46" s="298"/>
      <c r="FW46" s="298"/>
      <c r="FX46" s="298"/>
      <c r="FY46" s="298"/>
      <c r="FZ46" s="298"/>
      <c r="GA46" s="298"/>
      <c r="GB46" s="298"/>
      <c r="GC46" s="298"/>
      <c r="GD46" s="298"/>
      <c r="GE46" s="298"/>
      <c r="GF46" s="298"/>
      <c r="GG46" s="298"/>
      <c r="GH46" s="298"/>
      <c r="GI46" s="298"/>
      <c r="GJ46" s="298"/>
      <c r="GK46" s="298"/>
      <c r="GL46" s="298"/>
      <c r="GM46" s="298"/>
      <c r="GN46" s="298"/>
      <c r="GO46" s="298"/>
      <c r="GP46" s="298"/>
      <c r="GQ46" s="298"/>
      <c r="GR46" s="298"/>
      <c r="GS46" s="298"/>
      <c r="GT46" s="298"/>
      <c r="GU46" s="298"/>
      <c r="GV46" s="298"/>
      <c r="GW46" s="298"/>
      <c r="GX46" s="298"/>
      <c r="GY46" s="298"/>
      <c r="GZ46" s="298"/>
      <c r="HA46" s="298"/>
      <c r="HB46" s="298"/>
      <c r="HC46" s="298"/>
      <c r="HD46" s="298"/>
      <c r="HE46" s="298"/>
      <c r="HF46" s="298"/>
      <c r="HG46" s="298"/>
      <c r="HH46" s="298"/>
      <c r="HI46" s="298"/>
      <c r="HJ46" s="298"/>
      <c r="HK46" s="298"/>
      <c r="HL46" s="298"/>
      <c r="HM46" s="298"/>
      <c r="HN46" s="298"/>
      <c r="HO46" s="298"/>
      <c r="HP46" s="298"/>
      <c r="HQ46" s="298"/>
      <c r="HR46" s="298"/>
      <c r="HS46" s="298"/>
      <c r="HT46" s="298"/>
      <c r="HU46" s="298"/>
      <c r="HV46" s="298"/>
      <c r="HW46" s="298"/>
      <c r="HX46" s="298"/>
      <c r="HY46" s="298"/>
      <c r="HZ46" s="298"/>
      <c r="IA46" s="298"/>
      <c r="IB46" s="298"/>
      <c r="IC46" s="298"/>
      <c r="ID46" s="298"/>
      <c r="IE46" s="298"/>
      <c r="IF46" s="298"/>
      <c r="IG46" s="298"/>
      <c r="IH46" s="298"/>
      <c r="II46" s="298"/>
      <c r="IJ46" s="298"/>
      <c r="IK46" s="298"/>
      <c r="IL46" s="298"/>
      <c r="IM46" s="298"/>
      <c r="IN46" s="298"/>
      <c r="IO46" s="298"/>
      <c r="IP46" s="298"/>
      <c r="IQ46" s="298"/>
      <c r="IR46" s="298"/>
      <c r="IS46" s="298"/>
      <c r="IT46" s="298"/>
      <c r="IU46" s="298"/>
      <c r="IV46" s="298"/>
    </row>
    <row r="47" spans="1:256" ht="21.75" customHeight="1">
      <c r="A47" s="339" t="s">
        <v>306</v>
      </c>
      <c r="B47" s="313">
        <v>8442</v>
      </c>
      <c r="C47" s="296"/>
      <c r="D47" s="297"/>
      <c r="E47" s="297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298"/>
      <c r="BY47" s="298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298"/>
      <c r="CK47" s="298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298"/>
      <c r="CW47" s="298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298"/>
      <c r="DI47" s="298"/>
      <c r="DJ47" s="298"/>
      <c r="DK47" s="298"/>
      <c r="DL47" s="298"/>
      <c r="DM47" s="298"/>
      <c r="DN47" s="298"/>
      <c r="DO47" s="298"/>
      <c r="DP47" s="298"/>
      <c r="DQ47" s="298"/>
      <c r="DR47" s="298"/>
      <c r="DS47" s="298"/>
      <c r="DT47" s="298"/>
      <c r="DU47" s="298"/>
      <c r="DV47" s="298"/>
      <c r="DW47" s="298"/>
      <c r="DX47" s="298"/>
      <c r="DY47" s="298"/>
      <c r="DZ47" s="298"/>
      <c r="EA47" s="298"/>
      <c r="EB47" s="298"/>
      <c r="EC47" s="298"/>
      <c r="ED47" s="298"/>
      <c r="EE47" s="298"/>
      <c r="EF47" s="298"/>
      <c r="EG47" s="298"/>
      <c r="EH47" s="298"/>
      <c r="EI47" s="298"/>
      <c r="EJ47" s="298"/>
      <c r="EK47" s="298"/>
      <c r="EL47" s="298"/>
      <c r="EM47" s="298"/>
      <c r="EN47" s="298"/>
      <c r="EO47" s="298"/>
      <c r="EP47" s="298"/>
      <c r="EQ47" s="298"/>
      <c r="ER47" s="298"/>
      <c r="ES47" s="298"/>
      <c r="ET47" s="298"/>
      <c r="EU47" s="298"/>
      <c r="EV47" s="298"/>
      <c r="EW47" s="298"/>
      <c r="EX47" s="298"/>
      <c r="EY47" s="298"/>
      <c r="EZ47" s="298"/>
      <c r="FA47" s="298"/>
      <c r="FB47" s="298"/>
      <c r="FC47" s="298"/>
      <c r="FD47" s="298"/>
      <c r="FE47" s="298"/>
      <c r="FF47" s="298"/>
      <c r="FG47" s="298"/>
      <c r="FH47" s="298"/>
      <c r="FI47" s="298"/>
      <c r="FJ47" s="298"/>
      <c r="FK47" s="298"/>
      <c r="FL47" s="298"/>
      <c r="FM47" s="298"/>
      <c r="FN47" s="298"/>
      <c r="FO47" s="298"/>
      <c r="FP47" s="298"/>
      <c r="FQ47" s="298"/>
      <c r="FR47" s="298"/>
      <c r="FS47" s="298"/>
      <c r="FT47" s="298"/>
      <c r="FU47" s="298"/>
      <c r="FV47" s="298"/>
      <c r="FW47" s="298"/>
      <c r="FX47" s="298"/>
      <c r="FY47" s="298"/>
      <c r="FZ47" s="298"/>
      <c r="GA47" s="298"/>
      <c r="GB47" s="298"/>
      <c r="GC47" s="298"/>
      <c r="GD47" s="298"/>
      <c r="GE47" s="298"/>
      <c r="GF47" s="298"/>
      <c r="GG47" s="298"/>
      <c r="GH47" s="298"/>
      <c r="GI47" s="298"/>
      <c r="GJ47" s="298"/>
      <c r="GK47" s="298"/>
      <c r="GL47" s="298"/>
      <c r="GM47" s="298"/>
      <c r="GN47" s="298"/>
      <c r="GO47" s="298"/>
      <c r="GP47" s="298"/>
      <c r="GQ47" s="298"/>
      <c r="GR47" s="298"/>
      <c r="GS47" s="298"/>
      <c r="GT47" s="298"/>
      <c r="GU47" s="298"/>
      <c r="GV47" s="298"/>
      <c r="GW47" s="298"/>
      <c r="GX47" s="298"/>
      <c r="GY47" s="298"/>
      <c r="GZ47" s="298"/>
      <c r="HA47" s="298"/>
      <c r="HB47" s="298"/>
      <c r="HC47" s="298"/>
      <c r="HD47" s="298"/>
      <c r="HE47" s="298"/>
      <c r="HF47" s="298"/>
      <c r="HG47" s="298"/>
      <c r="HH47" s="298"/>
      <c r="HI47" s="298"/>
      <c r="HJ47" s="298"/>
      <c r="HK47" s="298"/>
      <c r="HL47" s="298"/>
      <c r="HM47" s="298"/>
      <c r="HN47" s="298"/>
      <c r="HO47" s="298"/>
      <c r="HP47" s="298"/>
      <c r="HQ47" s="298"/>
      <c r="HR47" s="298"/>
      <c r="HS47" s="298"/>
      <c r="HT47" s="298"/>
      <c r="HU47" s="298"/>
      <c r="HV47" s="298"/>
      <c r="HW47" s="298"/>
      <c r="HX47" s="298"/>
      <c r="HY47" s="298"/>
      <c r="HZ47" s="298"/>
      <c r="IA47" s="298"/>
      <c r="IB47" s="298"/>
      <c r="IC47" s="298"/>
      <c r="ID47" s="298"/>
      <c r="IE47" s="298"/>
      <c r="IF47" s="298"/>
      <c r="IG47" s="298"/>
      <c r="IH47" s="298"/>
      <c r="II47" s="298"/>
      <c r="IJ47" s="298"/>
      <c r="IK47" s="298"/>
      <c r="IL47" s="298"/>
      <c r="IM47" s="298"/>
      <c r="IN47" s="298"/>
      <c r="IO47" s="298"/>
      <c r="IP47" s="298"/>
      <c r="IQ47" s="298"/>
      <c r="IR47" s="298"/>
      <c r="IS47" s="298"/>
      <c r="IT47" s="298"/>
      <c r="IU47" s="298"/>
      <c r="IV47" s="298"/>
    </row>
    <row r="48" spans="1:256" ht="21.75" customHeight="1">
      <c r="A48" s="314" t="s">
        <v>307</v>
      </c>
      <c r="B48" s="295">
        <v>6000</v>
      </c>
      <c r="C48" s="296"/>
      <c r="D48" s="297"/>
      <c r="E48" s="297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8"/>
      <c r="BF48" s="298"/>
      <c r="BG48" s="298"/>
      <c r="BH48" s="298"/>
      <c r="BI48" s="298"/>
      <c r="BJ48" s="298"/>
      <c r="BK48" s="298"/>
      <c r="BL48" s="298"/>
      <c r="BM48" s="298"/>
      <c r="BN48" s="298"/>
      <c r="BO48" s="298"/>
      <c r="BP48" s="298"/>
      <c r="BQ48" s="298"/>
      <c r="BR48" s="298"/>
      <c r="BS48" s="298"/>
      <c r="BT48" s="298"/>
      <c r="BU48" s="298"/>
      <c r="BV48" s="298"/>
      <c r="BW48" s="298"/>
      <c r="BX48" s="298"/>
      <c r="BY48" s="298"/>
      <c r="BZ48" s="298"/>
      <c r="CA48" s="298"/>
      <c r="CB48" s="298"/>
      <c r="CC48" s="298"/>
      <c r="CD48" s="298"/>
      <c r="CE48" s="298"/>
      <c r="CF48" s="298"/>
      <c r="CG48" s="298"/>
      <c r="CH48" s="298"/>
      <c r="CI48" s="298"/>
      <c r="CJ48" s="298"/>
      <c r="CK48" s="298"/>
      <c r="CL48" s="298"/>
      <c r="CM48" s="298"/>
      <c r="CN48" s="298"/>
      <c r="CO48" s="298"/>
      <c r="CP48" s="298"/>
      <c r="CQ48" s="298"/>
      <c r="CR48" s="298"/>
      <c r="CS48" s="298"/>
      <c r="CT48" s="298"/>
      <c r="CU48" s="298"/>
      <c r="CV48" s="298"/>
      <c r="CW48" s="298"/>
      <c r="CX48" s="298"/>
      <c r="CY48" s="298"/>
      <c r="CZ48" s="298"/>
      <c r="DA48" s="298"/>
      <c r="DB48" s="298"/>
      <c r="DC48" s="298"/>
      <c r="DD48" s="298"/>
      <c r="DE48" s="298"/>
      <c r="DF48" s="298"/>
      <c r="DG48" s="298"/>
      <c r="DH48" s="298"/>
      <c r="DI48" s="298"/>
      <c r="DJ48" s="298"/>
      <c r="DK48" s="298"/>
      <c r="DL48" s="298"/>
      <c r="DM48" s="298"/>
      <c r="DN48" s="298"/>
      <c r="DO48" s="298"/>
      <c r="DP48" s="298"/>
      <c r="DQ48" s="298"/>
      <c r="DR48" s="298"/>
      <c r="DS48" s="298"/>
      <c r="DT48" s="298"/>
      <c r="DU48" s="298"/>
      <c r="DV48" s="298"/>
      <c r="DW48" s="298"/>
      <c r="DX48" s="298"/>
      <c r="DY48" s="298"/>
      <c r="DZ48" s="298"/>
      <c r="EA48" s="298"/>
      <c r="EB48" s="298"/>
      <c r="EC48" s="298"/>
      <c r="ED48" s="298"/>
      <c r="EE48" s="298"/>
      <c r="EF48" s="298"/>
      <c r="EG48" s="298"/>
      <c r="EH48" s="298"/>
      <c r="EI48" s="298"/>
      <c r="EJ48" s="298"/>
      <c r="EK48" s="298"/>
      <c r="EL48" s="298"/>
      <c r="EM48" s="298"/>
      <c r="EN48" s="298"/>
      <c r="EO48" s="298"/>
      <c r="EP48" s="298"/>
      <c r="EQ48" s="298"/>
      <c r="ER48" s="298"/>
      <c r="ES48" s="298"/>
      <c r="ET48" s="298"/>
      <c r="EU48" s="298"/>
      <c r="EV48" s="298"/>
      <c r="EW48" s="298"/>
      <c r="EX48" s="298"/>
      <c r="EY48" s="298"/>
      <c r="EZ48" s="298"/>
      <c r="FA48" s="298"/>
      <c r="FB48" s="298"/>
      <c r="FC48" s="298"/>
      <c r="FD48" s="298"/>
      <c r="FE48" s="298"/>
      <c r="FF48" s="298"/>
      <c r="FG48" s="298"/>
      <c r="FH48" s="298"/>
      <c r="FI48" s="298"/>
      <c r="FJ48" s="298"/>
      <c r="FK48" s="298"/>
      <c r="FL48" s="298"/>
      <c r="FM48" s="298"/>
      <c r="FN48" s="298"/>
      <c r="FO48" s="298"/>
      <c r="FP48" s="298"/>
      <c r="FQ48" s="298"/>
      <c r="FR48" s="298"/>
      <c r="FS48" s="298"/>
      <c r="FT48" s="298"/>
      <c r="FU48" s="298"/>
      <c r="FV48" s="298"/>
      <c r="FW48" s="298"/>
      <c r="FX48" s="298"/>
      <c r="FY48" s="298"/>
      <c r="FZ48" s="298"/>
      <c r="GA48" s="298"/>
      <c r="GB48" s="298"/>
      <c r="GC48" s="298"/>
      <c r="GD48" s="298"/>
      <c r="GE48" s="298"/>
      <c r="GF48" s="298"/>
      <c r="GG48" s="298"/>
      <c r="GH48" s="298"/>
      <c r="GI48" s="298"/>
      <c r="GJ48" s="298"/>
      <c r="GK48" s="298"/>
      <c r="GL48" s="298"/>
      <c r="GM48" s="298"/>
      <c r="GN48" s="298"/>
      <c r="GO48" s="298"/>
      <c r="GP48" s="298"/>
      <c r="GQ48" s="298"/>
      <c r="GR48" s="298"/>
      <c r="GS48" s="298"/>
      <c r="GT48" s="298"/>
      <c r="GU48" s="298"/>
      <c r="GV48" s="298"/>
      <c r="GW48" s="298"/>
      <c r="GX48" s="298"/>
      <c r="GY48" s="298"/>
      <c r="GZ48" s="298"/>
      <c r="HA48" s="298"/>
      <c r="HB48" s="298"/>
      <c r="HC48" s="298"/>
      <c r="HD48" s="298"/>
      <c r="HE48" s="298"/>
      <c r="HF48" s="298"/>
      <c r="HG48" s="298"/>
      <c r="HH48" s="298"/>
      <c r="HI48" s="298"/>
      <c r="HJ48" s="298"/>
      <c r="HK48" s="298"/>
      <c r="HL48" s="298"/>
      <c r="HM48" s="298"/>
      <c r="HN48" s="298"/>
      <c r="HO48" s="298"/>
      <c r="HP48" s="298"/>
      <c r="HQ48" s="298"/>
      <c r="HR48" s="298"/>
      <c r="HS48" s="298"/>
      <c r="HT48" s="298"/>
      <c r="HU48" s="298"/>
      <c r="HV48" s="298"/>
      <c r="HW48" s="298"/>
      <c r="HX48" s="298"/>
      <c r="HY48" s="298"/>
      <c r="HZ48" s="298"/>
      <c r="IA48" s="298"/>
      <c r="IB48" s="298"/>
      <c r="IC48" s="298"/>
      <c r="ID48" s="298"/>
      <c r="IE48" s="298"/>
      <c r="IF48" s="298"/>
      <c r="IG48" s="298"/>
      <c r="IH48" s="298"/>
      <c r="II48" s="298"/>
      <c r="IJ48" s="298"/>
      <c r="IK48" s="298"/>
      <c r="IL48" s="298"/>
      <c r="IM48" s="298"/>
      <c r="IN48" s="298"/>
      <c r="IO48" s="298"/>
      <c r="IP48" s="298"/>
      <c r="IQ48" s="298"/>
      <c r="IR48" s="298"/>
      <c r="IS48" s="298"/>
      <c r="IT48" s="298"/>
      <c r="IU48" s="298"/>
      <c r="IV48" s="298"/>
    </row>
    <row r="49" spans="1:256" ht="21.75" customHeight="1">
      <c r="A49" s="312" t="s">
        <v>308</v>
      </c>
      <c r="B49" s="295">
        <v>81721</v>
      </c>
      <c r="C49" s="296"/>
      <c r="D49" s="297"/>
      <c r="E49" s="297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98"/>
      <c r="CX49" s="298"/>
      <c r="CY49" s="298"/>
      <c r="CZ49" s="298"/>
      <c r="DA49" s="298"/>
      <c r="DB49" s="298"/>
      <c r="DC49" s="298"/>
      <c r="DD49" s="298"/>
      <c r="DE49" s="298"/>
      <c r="DF49" s="298"/>
      <c r="DG49" s="298"/>
      <c r="DH49" s="298"/>
      <c r="DI49" s="298"/>
      <c r="DJ49" s="298"/>
      <c r="DK49" s="298"/>
      <c r="DL49" s="298"/>
      <c r="DM49" s="298"/>
      <c r="DN49" s="298"/>
      <c r="DO49" s="298"/>
      <c r="DP49" s="298"/>
      <c r="DQ49" s="298"/>
      <c r="DR49" s="298"/>
      <c r="DS49" s="298"/>
      <c r="DT49" s="298"/>
      <c r="DU49" s="298"/>
      <c r="DV49" s="298"/>
      <c r="DW49" s="298"/>
      <c r="DX49" s="298"/>
      <c r="DY49" s="298"/>
      <c r="DZ49" s="298"/>
      <c r="EA49" s="298"/>
      <c r="EB49" s="298"/>
      <c r="EC49" s="298"/>
      <c r="ED49" s="298"/>
      <c r="EE49" s="298"/>
      <c r="EF49" s="298"/>
      <c r="EG49" s="298"/>
      <c r="EH49" s="298"/>
      <c r="EI49" s="298"/>
      <c r="EJ49" s="298"/>
      <c r="EK49" s="298"/>
      <c r="EL49" s="298"/>
      <c r="EM49" s="298"/>
      <c r="EN49" s="298"/>
      <c r="EO49" s="298"/>
      <c r="EP49" s="298"/>
      <c r="EQ49" s="298"/>
      <c r="ER49" s="298"/>
      <c r="ES49" s="298"/>
      <c r="ET49" s="298"/>
      <c r="EU49" s="298"/>
      <c r="EV49" s="298"/>
      <c r="EW49" s="298"/>
      <c r="EX49" s="298"/>
      <c r="EY49" s="298"/>
      <c r="EZ49" s="298"/>
      <c r="FA49" s="298"/>
      <c r="FB49" s="298"/>
      <c r="FC49" s="298"/>
      <c r="FD49" s="298"/>
      <c r="FE49" s="298"/>
      <c r="FF49" s="298"/>
      <c r="FG49" s="298"/>
      <c r="FH49" s="298"/>
      <c r="FI49" s="298"/>
      <c r="FJ49" s="298"/>
      <c r="FK49" s="298"/>
      <c r="FL49" s="298"/>
      <c r="FM49" s="298"/>
      <c r="FN49" s="298"/>
      <c r="FO49" s="298"/>
      <c r="FP49" s="298"/>
      <c r="FQ49" s="298"/>
      <c r="FR49" s="298"/>
      <c r="FS49" s="298"/>
      <c r="FT49" s="298"/>
      <c r="FU49" s="298"/>
      <c r="FV49" s="298"/>
      <c r="FW49" s="298"/>
      <c r="FX49" s="298"/>
      <c r="FY49" s="298"/>
      <c r="FZ49" s="298"/>
      <c r="GA49" s="298"/>
      <c r="GB49" s="298"/>
      <c r="GC49" s="298"/>
      <c r="GD49" s="298"/>
      <c r="GE49" s="298"/>
      <c r="GF49" s="298"/>
      <c r="GG49" s="298"/>
      <c r="GH49" s="298"/>
      <c r="GI49" s="298"/>
      <c r="GJ49" s="298"/>
      <c r="GK49" s="298"/>
      <c r="GL49" s="298"/>
      <c r="GM49" s="298"/>
      <c r="GN49" s="298"/>
      <c r="GO49" s="298"/>
      <c r="GP49" s="298"/>
      <c r="GQ49" s="298"/>
      <c r="GR49" s="298"/>
      <c r="GS49" s="298"/>
      <c r="GT49" s="298"/>
      <c r="GU49" s="298"/>
      <c r="GV49" s="298"/>
      <c r="GW49" s="298"/>
      <c r="GX49" s="298"/>
      <c r="GY49" s="298"/>
      <c r="GZ49" s="298"/>
      <c r="HA49" s="298"/>
      <c r="HB49" s="298"/>
      <c r="HC49" s="298"/>
      <c r="HD49" s="298"/>
      <c r="HE49" s="298"/>
      <c r="HF49" s="298"/>
      <c r="HG49" s="298"/>
      <c r="HH49" s="298"/>
      <c r="HI49" s="298"/>
      <c r="HJ49" s="298"/>
      <c r="HK49" s="298"/>
      <c r="HL49" s="298"/>
      <c r="HM49" s="298"/>
      <c r="HN49" s="298"/>
      <c r="HO49" s="298"/>
      <c r="HP49" s="298"/>
      <c r="HQ49" s="298"/>
      <c r="HR49" s="298"/>
      <c r="HS49" s="298"/>
      <c r="HT49" s="298"/>
      <c r="HU49" s="298"/>
      <c r="HV49" s="298"/>
      <c r="HW49" s="298"/>
      <c r="HX49" s="298"/>
      <c r="HY49" s="298"/>
      <c r="HZ49" s="298"/>
      <c r="IA49" s="298"/>
      <c r="IB49" s="298"/>
      <c r="IC49" s="298"/>
      <c r="ID49" s="298"/>
      <c r="IE49" s="298"/>
      <c r="IF49" s="298"/>
      <c r="IG49" s="298"/>
      <c r="IH49" s="298"/>
      <c r="II49" s="298"/>
      <c r="IJ49" s="298"/>
      <c r="IK49" s="298"/>
      <c r="IL49" s="298"/>
      <c r="IM49" s="298"/>
      <c r="IN49" s="298"/>
      <c r="IO49" s="298"/>
      <c r="IP49" s="298"/>
      <c r="IQ49" s="298"/>
      <c r="IR49" s="298"/>
      <c r="IS49" s="298"/>
      <c r="IT49" s="298"/>
      <c r="IU49" s="298"/>
      <c r="IV49" s="298"/>
    </row>
    <row r="50" spans="1:256" ht="21.75" customHeight="1">
      <c r="A50" s="321" t="s">
        <v>563</v>
      </c>
      <c r="B50" s="313">
        <v>982</v>
      </c>
      <c r="C50" s="296"/>
      <c r="D50" s="297"/>
      <c r="E50" s="297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298"/>
      <c r="DI50" s="298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298"/>
      <c r="DU50" s="298"/>
      <c r="DV50" s="298"/>
      <c r="DW50" s="298"/>
      <c r="DX50" s="298"/>
      <c r="DY50" s="298"/>
      <c r="DZ50" s="298"/>
      <c r="EA50" s="298"/>
      <c r="EB50" s="298"/>
      <c r="EC50" s="298"/>
      <c r="ED50" s="298"/>
      <c r="EE50" s="298"/>
      <c r="EF50" s="298"/>
      <c r="EG50" s="298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298"/>
      <c r="ES50" s="298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298"/>
      <c r="FE50" s="298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298"/>
      <c r="FQ50" s="298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298"/>
      <c r="GC50" s="298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298"/>
      <c r="GO50" s="298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298"/>
      <c r="HA50" s="298"/>
      <c r="HB50" s="298"/>
      <c r="HC50" s="298"/>
      <c r="HD50" s="298"/>
      <c r="HE50" s="298"/>
      <c r="HF50" s="298"/>
      <c r="HG50" s="298"/>
      <c r="HH50" s="298"/>
      <c r="HI50" s="298"/>
      <c r="HJ50" s="298"/>
      <c r="HK50" s="298"/>
      <c r="HL50" s="298"/>
      <c r="HM50" s="298"/>
      <c r="HN50" s="298"/>
      <c r="HO50" s="298"/>
      <c r="HP50" s="298"/>
      <c r="HQ50" s="298"/>
      <c r="HR50" s="298"/>
      <c r="HS50" s="298"/>
      <c r="HT50" s="298"/>
      <c r="HU50" s="298"/>
      <c r="HV50" s="298"/>
      <c r="HW50" s="298"/>
      <c r="HX50" s="298"/>
      <c r="HY50" s="298"/>
      <c r="HZ50" s="298"/>
      <c r="IA50" s="298"/>
      <c r="IB50" s="298"/>
      <c r="IC50" s="298"/>
      <c r="ID50" s="298"/>
      <c r="IE50" s="298"/>
      <c r="IF50" s="298"/>
      <c r="IG50" s="298"/>
      <c r="IH50" s="298"/>
      <c r="II50" s="298"/>
      <c r="IJ50" s="298"/>
      <c r="IK50" s="298"/>
      <c r="IL50" s="298"/>
      <c r="IM50" s="298"/>
      <c r="IN50" s="298"/>
      <c r="IO50" s="298"/>
      <c r="IP50" s="298"/>
      <c r="IQ50" s="298"/>
      <c r="IR50" s="298"/>
      <c r="IS50" s="298"/>
      <c r="IT50" s="298"/>
      <c r="IU50" s="298"/>
      <c r="IV50" s="298"/>
    </row>
    <row r="51" spans="1:256" ht="21.75" customHeight="1">
      <c r="A51" s="299" t="s">
        <v>309</v>
      </c>
      <c r="B51" s="295">
        <v>33665</v>
      </c>
      <c r="C51" s="296"/>
      <c r="D51" s="297"/>
      <c r="E51" s="297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/>
      <c r="BF51" s="298"/>
      <c r="BG51" s="298"/>
      <c r="BH51" s="298"/>
      <c r="BI51" s="298"/>
      <c r="BJ51" s="298"/>
      <c r="BK51" s="298"/>
      <c r="BL51" s="298"/>
      <c r="BM51" s="298"/>
      <c r="BN51" s="298"/>
      <c r="BO51" s="298"/>
      <c r="BP51" s="298"/>
      <c r="BQ51" s="298"/>
      <c r="BR51" s="298"/>
      <c r="BS51" s="298"/>
      <c r="BT51" s="298"/>
      <c r="BU51" s="298"/>
      <c r="BV51" s="298"/>
      <c r="BW51" s="298"/>
      <c r="BX51" s="298"/>
      <c r="BY51" s="298"/>
      <c r="BZ51" s="298"/>
      <c r="CA51" s="298"/>
      <c r="CB51" s="298"/>
      <c r="CC51" s="298"/>
      <c r="CD51" s="298"/>
      <c r="CE51" s="298"/>
      <c r="CF51" s="298"/>
      <c r="CG51" s="298"/>
      <c r="CH51" s="298"/>
      <c r="CI51" s="298"/>
      <c r="CJ51" s="298"/>
      <c r="CK51" s="298"/>
      <c r="CL51" s="298"/>
      <c r="CM51" s="298"/>
      <c r="CN51" s="298"/>
      <c r="CO51" s="298"/>
      <c r="CP51" s="298"/>
      <c r="CQ51" s="298"/>
      <c r="CR51" s="298"/>
      <c r="CS51" s="298"/>
      <c r="CT51" s="298"/>
      <c r="CU51" s="298"/>
      <c r="CV51" s="298"/>
      <c r="CW51" s="298"/>
      <c r="CX51" s="298"/>
      <c r="CY51" s="298"/>
      <c r="CZ51" s="298"/>
      <c r="DA51" s="298"/>
      <c r="DB51" s="298"/>
      <c r="DC51" s="298"/>
      <c r="DD51" s="298"/>
      <c r="DE51" s="298"/>
      <c r="DF51" s="298"/>
      <c r="DG51" s="298"/>
      <c r="DH51" s="298"/>
      <c r="DI51" s="298"/>
      <c r="DJ51" s="298"/>
      <c r="DK51" s="298"/>
      <c r="DL51" s="298"/>
      <c r="DM51" s="298"/>
      <c r="DN51" s="298"/>
      <c r="DO51" s="298"/>
      <c r="DP51" s="298"/>
      <c r="DQ51" s="298"/>
      <c r="DR51" s="298"/>
      <c r="DS51" s="298"/>
      <c r="DT51" s="298"/>
      <c r="DU51" s="298"/>
      <c r="DV51" s="298"/>
      <c r="DW51" s="298"/>
      <c r="DX51" s="298"/>
      <c r="DY51" s="298"/>
      <c r="DZ51" s="298"/>
      <c r="EA51" s="298"/>
      <c r="EB51" s="298"/>
      <c r="EC51" s="298"/>
      <c r="ED51" s="298"/>
      <c r="EE51" s="298"/>
      <c r="EF51" s="298"/>
      <c r="EG51" s="298"/>
      <c r="EH51" s="298"/>
      <c r="EI51" s="298"/>
      <c r="EJ51" s="298"/>
      <c r="EK51" s="298"/>
      <c r="EL51" s="298"/>
      <c r="EM51" s="298"/>
      <c r="EN51" s="298"/>
      <c r="EO51" s="298"/>
      <c r="EP51" s="298"/>
      <c r="EQ51" s="298"/>
      <c r="ER51" s="298"/>
      <c r="ES51" s="298"/>
      <c r="ET51" s="298"/>
      <c r="EU51" s="298"/>
      <c r="EV51" s="298"/>
      <c r="EW51" s="298"/>
      <c r="EX51" s="298"/>
      <c r="EY51" s="298"/>
      <c r="EZ51" s="298"/>
      <c r="FA51" s="298"/>
      <c r="FB51" s="298"/>
      <c r="FC51" s="298"/>
      <c r="FD51" s="298"/>
      <c r="FE51" s="298"/>
      <c r="FF51" s="298"/>
      <c r="FG51" s="298"/>
      <c r="FH51" s="298"/>
      <c r="FI51" s="298"/>
      <c r="FJ51" s="298"/>
      <c r="FK51" s="298"/>
      <c r="FL51" s="298"/>
      <c r="FM51" s="298"/>
      <c r="FN51" s="298"/>
      <c r="FO51" s="298"/>
      <c r="FP51" s="298"/>
      <c r="FQ51" s="298"/>
      <c r="FR51" s="298"/>
      <c r="FS51" s="298"/>
      <c r="FT51" s="298"/>
      <c r="FU51" s="298"/>
      <c r="FV51" s="298"/>
      <c r="FW51" s="298"/>
      <c r="FX51" s="298"/>
      <c r="FY51" s="298"/>
      <c r="FZ51" s="298"/>
      <c r="GA51" s="298"/>
      <c r="GB51" s="298"/>
      <c r="GC51" s="298"/>
      <c r="GD51" s="298"/>
      <c r="GE51" s="298"/>
      <c r="GF51" s="298"/>
      <c r="GG51" s="298"/>
      <c r="GH51" s="298"/>
      <c r="GI51" s="298"/>
      <c r="GJ51" s="298"/>
      <c r="GK51" s="298"/>
      <c r="GL51" s="298"/>
      <c r="GM51" s="298"/>
      <c r="GN51" s="298"/>
      <c r="GO51" s="298"/>
      <c r="GP51" s="298"/>
      <c r="GQ51" s="298"/>
      <c r="GR51" s="298"/>
      <c r="GS51" s="298"/>
      <c r="GT51" s="298"/>
      <c r="GU51" s="298"/>
      <c r="GV51" s="298"/>
      <c r="GW51" s="298"/>
      <c r="GX51" s="298"/>
      <c r="GY51" s="298"/>
      <c r="GZ51" s="298"/>
      <c r="HA51" s="298"/>
      <c r="HB51" s="298"/>
      <c r="HC51" s="298"/>
      <c r="HD51" s="298"/>
      <c r="HE51" s="298"/>
      <c r="HF51" s="298"/>
      <c r="HG51" s="298"/>
      <c r="HH51" s="298"/>
      <c r="HI51" s="298"/>
      <c r="HJ51" s="298"/>
      <c r="HK51" s="298"/>
      <c r="HL51" s="298"/>
      <c r="HM51" s="298"/>
      <c r="HN51" s="298"/>
      <c r="HO51" s="298"/>
      <c r="HP51" s="298"/>
      <c r="HQ51" s="298"/>
      <c r="HR51" s="298"/>
      <c r="HS51" s="298"/>
      <c r="HT51" s="298"/>
      <c r="HU51" s="298"/>
      <c r="HV51" s="298"/>
      <c r="HW51" s="298"/>
      <c r="HX51" s="298"/>
      <c r="HY51" s="298"/>
      <c r="HZ51" s="298"/>
      <c r="IA51" s="298"/>
      <c r="IB51" s="298"/>
      <c r="IC51" s="298"/>
      <c r="ID51" s="298"/>
      <c r="IE51" s="298"/>
      <c r="IF51" s="298"/>
      <c r="IG51" s="298"/>
      <c r="IH51" s="298"/>
      <c r="II51" s="298"/>
      <c r="IJ51" s="298"/>
      <c r="IK51" s="298"/>
      <c r="IL51" s="298"/>
      <c r="IM51" s="298"/>
      <c r="IN51" s="298"/>
      <c r="IO51" s="298"/>
      <c r="IP51" s="298"/>
      <c r="IQ51" s="298"/>
      <c r="IR51" s="298"/>
      <c r="IS51" s="298"/>
      <c r="IT51" s="298"/>
      <c r="IU51" s="298"/>
      <c r="IV51" s="298"/>
    </row>
    <row r="52" spans="1:256" ht="21.75" customHeight="1">
      <c r="A52" s="310" t="s">
        <v>310</v>
      </c>
      <c r="B52" s="313">
        <v>3543</v>
      </c>
      <c r="C52" s="296"/>
      <c r="D52" s="297"/>
      <c r="E52" s="297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98"/>
      <c r="BC52" s="298"/>
      <c r="BD52" s="298"/>
      <c r="BE52" s="298"/>
      <c r="BF52" s="298"/>
      <c r="BG52" s="298"/>
      <c r="BH52" s="298"/>
      <c r="BI52" s="298"/>
      <c r="BJ52" s="298"/>
      <c r="BK52" s="298"/>
      <c r="BL52" s="298"/>
      <c r="BM52" s="298"/>
      <c r="BN52" s="298"/>
      <c r="BO52" s="298"/>
      <c r="BP52" s="298"/>
      <c r="BQ52" s="298"/>
      <c r="BR52" s="298"/>
      <c r="BS52" s="298"/>
      <c r="BT52" s="298"/>
      <c r="BU52" s="298"/>
      <c r="BV52" s="298"/>
      <c r="BW52" s="298"/>
      <c r="BX52" s="298"/>
      <c r="BY52" s="298"/>
      <c r="BZ52" s="298"/>
      <c r="CA52" s="298"/>
      <c r="CB52" s="298"/>
      <c r="CC52" s="298"/>
      <c r="CD52" s="298"/>
      <c r="CE52" s="298"/>
      <c r="CF52" s="298"/>
      <c r="CG52" s="298"/>
      <c r="CH52" s="298"/>
      <c r="CI52" s="298"/>
      <c r="CJ52" s="298"/>
      <c r="CK52" s="298"/>
      <c r="CL52" s="298"/>
      <c r="CM52" s="298"/>
      <c r="CN52" s="298"/>
      <c r="CO52" s="298"/>
      <c r="CP52" s="298"/>
      <c r="CQ52" s="298"/>
      <c r="CR52" s="298"/>
      <c r="CS52" s="298"/>
      <c r="CT52" s="298"/>
      <c r="CU52" s="298"/>
      <c r="CV52" s="298"/>
      <c r="CW52" s="298"/>
      <c r="CX52" s="298"/>
      <c r="CY52" s="298"/>
      <c r="CZ52" s="298"/>
      <c r="DA52" s="298"/>
      <c r="DB52" s="298"/>
      <c r="DC52" s="298"/>
      <c r="DD52" s="298"/>
      <c r="DE52" s="298"/>
      <c r="DF52" s="298"/>
      <c r="DG52" s="298"/>
      <c r="DH52" s="298"/>
      <c r="DI52" s="298"/>
      <c r="DJ52" s="298"/>
      <c r="DK52" s="298"/>
      <c r="DL52" s="298"/>
      <c r="DM52" s="298"/>
      <c r="DN52" s="298"/>
      <c r="DO52" s="298"/>
      <c r="DP52" s="298"/>
      <c r="DQ52" s="298"/>
      <c r="DR52" s="298"/>
      <c r="DS52" s="298"/>
      <c r="DT52" s="298"/>
      <c r="DU52" s="298"/>
      <c r="DV52" s="298"/>
      <c r="DW52" s="298"/>
      <c r="DX52" s="298"/>
      <c r="DY52" s="298"/>
      <c r="DZ52" s="298"/>
      <c r="EA52" s="298"/>
      <c r="EB52" s="298"/>
      <c r="EC52" s="298"/>
      <c r="ED52" s="298"/>
      <c r="EE52" s="298"/>
      <c r="EF52" s="298"/>
      <c r="EG52" s="298"/>
      <c r="EH52" s="298"/>
      <c r="EI52" s="298"/>
      <c r="EJ52" s="298"/>
      <c r="EK52" s="298"/>
      <c r="EL52" s="298"/>
      <c r="EM52" s="298"/>
      <c r="EN52" s="298"/>
      <c r="EO52" s="298"/>
      <c r="EP52" s="298"/>
      <c r="EQ52" s="298"/>
      <c r="ER52" s="298"/>
      <c r="ES52" s="298"/>
      <c r="ET52" s="298"/>
      <c r="EU52" s="298"/>
      <c r="EV52" s="298"/>
      <c r="EW52" s="298"/>
      <c r="EX52" s="298"/>
      <c r="EY52" s="298"/>
      <c r="EZ52" s="298"/>
      <c r="FA52" s="298"/>
      <c r="FB52" s="298"/>
      <c r="FC52" s="298"/>
      <c r="FD52" s="298"/>
      <c r="FE52" s="298"/>
      <c r="FF52" s="298"/>
      <c r="FG52" s="298"/>
      <c r="FH52" s="298"/>
      <c r="FI52" s="298"/>
      <c r="FJ52" s="298"/>
      <c r="FK52" s="298"/>
      <c r="FL52" s="298"/>
      <c r="FM52" s="298"/>
      <c r="FN52" s="298"/>
      <c r="FO52" s="298"/>
      <c r="FP52" s="298"/>
      <c r="FQ52" s="298"/>
      <c r="FR52" s="298"/>
      <c r="FS52" s="298"/>
      <c r="FT52" s="298"/>
      <c r="FU52" s="298"/>
      <c r="FV52" s="298"/>
      <c r="FW52" s="298"/>
      <c r="FX52" s="298"/>
      <c r="FY52" s="298"/>
      <c r="FZ52" s="298"/>
      <c r="GA52" s="298"/>
      <c r="GB52" s="298"/>
      <c r="GC52" s="298"/>
      <c r="GD52" s="298"/>
      <c r="GE52" s="298"/>
      <c r="GF52" s="298"/>
      <c r="GG52" s="298"/>
      <c r="GH52" s="298"/>
      <c r="GI52" s="298"/>
      <c r="GJ52" s="298"/>
      <c r="GK52" s="298"/>
      <c r="GL52" s="298"/>
      <c r="GM52" s="298"/>
      <c r="GN52" s="298"/>
      <c r="GO52" s="298"/>
      <c r="GP52" s="298"/>
      <c r="GQ52" s="298"/>
      <c r="GR52" s="298"/>
      <c r="GS52" s="298"/>
      <c r="GT52" s="298"/>
      <c r="GU52" s="298"/>
      <c r="GV52" s="298"/>
      <c r="GW52" s="298"/>
      <c r="GX52" s="298"/>
      <c r="GY52" s="298"/>
      <c r="GZ52" s="298"/>
      <c r="HA52" s="298"/>
      <c r="HB52" s="298"/>
      <c r="HC52" s="298"/>
      <c r="HD52" s="298"/>
      <c r="HE52" s="298"/>
      <c r="HF52" s="298"/>
      <c r="HG52" s="298"/>
      <c r="HH52" s="298"/>
      <c r="HI52" s="298"/>
      <c r="HJ52" s="298"/>
      <c r="HK52" s="298"/>
      <c r="HL52" s="298"/>
      <c r="HM52" s="298"/>
      <c r="HN52" s="298"/>
      <c r="HO52" s="298"/>
      <c r="HP52" s="298"/>
      <c r="HQ52" s="298"/>
      <c r="HR52" s="298"/>
      <c r="HS52" s="298"/>
      <c r="HT52" s="298"/>
      <c r="HU52" s="298"/>
      <c r="HV52" s="298"/>
      <c r="HW52" s="298"/>
      <c r="HX52" s="298"/>
      <c r="HY52" s="298"/>
      <c r="HZ52" s="298"/>
      <c r="IA52" s="298"/>
      <c r="IB52" s="298"/>
      <c r="IC52" s="298"/>
      <c r="ID52" s="298"/>
      <c r="IE52" s="298"/>
      <c r="IF52" s="298"/>
      <c r="IG52" s="298"/>
      <c r="IH52" s="298"/>
      <c r="II52" s="298"/>
      <c r="IJ52" s="298"/>
      <c r="IK52" s="298"/>
      <c r="IL52" s="298"/>
      <c r="IM52" s="298"/>
      <c r="IN52" s="298"/>
      <c r="IO52" s="298"/>
      <c r="IP52" s="298"/>
      <c r="IQ52" s="298"/>
      <c r="IR52" s="298"/>
      <c r="IS52" s="298"/>
      <c r="IT52" s="298"/>
      <c r="IU52" s="298"/>
      <c r="IV52" s="298"/>
    </row>
    <row r="53" spans="1:256" ht="21.75" customHeight="1">
      <c r="A53" s="310" t="s">
        <v>562</v>
      </c>
      <c r="B53" s="313">
        <v>11560</v>
      </c>
      <c r="C53" s="296"/>
      <c r="D53" s="297"/>
      <c r="E53" s="297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298"/>
      <c r="BN53" s="298"/>
      <c r="BO53" s="298"/>
      <c r="BP53" s="298"/>
      <c r="BQ53" s="298"/>
      <c r="BR53" s="298"/>
      <c r="BS53" s="298"/>
      <c r="BT53" s="298"/>
      <c r="BU53" s="298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/>
      <c r="CG53" s="298"/>
      <c r="CH53" s="298"/>
      <c r="CI53" s="298"/>
      <c r="CJ53" s="298"/>
      <c r="CK53" s="298"/>
      <c r="CL53" s="298"/>
      <c r="CM53" s="298"/>
      <c r="CN53" s="298"/>
      <c r="CO53" s="298"/>
      <c r="CP53" s="298"/>
      <c r="CQ53" s="298"/>
      <c r="CR53" s="298"/>
      <c r="CS53" s="298"/>
      <c r="CT53" s="298"/>
      <c r="CU53" s="298"/>
      <c r="CV53" s="298"/>
      <c r="CW53" s="298"/>
      <c r="CX53" s="298"/>
      <c r="CY53" s="298"/>
      <c r="CZ53" s="298"/>
      <c r="DA53" s="298"/>
      <c r="DB53" s="298"/>
      <c r="DC53" s="298"/>
      <c r="DD53" s="298"/>
      <c r="DE53" s="298"/>
      <c r="DF53" s="298"/>
      <c r="DG53" s="298"/>
      <c r="DH53" s="298"/>
      <c r="DI53" s="298"/>
      <c r="DJ53" s="298"/>
      <c r="DK53" s="298"/>
      <c r="DL53" s="298"/>
      <c r="DM53" s="298"/>
      <c r="DN53" s="298"/>
      <c r="DO53" s="298"/>
      <c r="DP53" s="298"/>
      <c r="DQ53" s="298"/>
      <c r="DR53" s="298"/>
      <c r="DS53" s="298"/>
      <c r="DT53" s="298"/>
      <c r="DU53" s="298"/>
      <c r="DV53" s="298"/>
      <c r="DW53" s="298"/>
      <c r="DX53" s="298"/>
      <c r="DY53" s="298"/>
      <c r="DZ53" s="298"/>
      <c r="EA53" s="298"/>
      <c r="EB53" s="298"/>
      <c r="EC53" s="298"/>
      <c r="ED53" s="298"/>
      <c r="EE53" s="298"/>
      <c r="EF53" s="298"/>
      <c r="EG53" s="298"/>
      <c r="EH53" s="298"/>
      <c r="EI53" s="298"/>
      <c r="EJ53" s="298"/>
      <c r="EK53" s="298"/>
      <c r="EL53" s="298"/>
      <c r="EM53" s="298"/>
      <c r="EN53" s="298"/>
      <c r="EO53" s="298"/>
      <c r="EP53" s="298"/>
      <c r="EQ53" s="298"/>
      <c r="ER53" s="298"/>
      <c r="ES53" s="298"/>
      <c r="ET53" s="298"/>
      <c r="EU53" s="298"/>
      <c r="EV53" s="298"/>
      <c r="EW53" s="298"/>
      <c r="EX53" s="298"/>
      <c r="EY53" s="298"/>
      <c r="EZ53" s="298"/>
      <c r="FA53" s="298"/>
      <c r="FB53" s="298"/>
      <c r="FC53" s="298"/>
      <c r="FD53" s="298"/>
      <c r="FE53" s="298"/>
      <c r="FF53" s="298"/>
      <c r="FG53" s="298"/>
      <c r="FH53" s="298"/>
      <c r="FI53" s="298"/>
      <c r="FJ53" s="298"/>
      <c r="FK53" s="298"/>
      <c r="FL53" s="298"/>
      <c r="FM53" s="298"/>
      <c r="FN53" s="298"/>
      <c r="FO53" s="298"/>
      <c r="FP53" s="298"/>
      <c r="FQ53" s="298"/>
      <c r="FR53" s="298"/>
      <c r="FS53" s="298"/>
      <c r="FT53" s="298"/>
      <c r="FU53" s="298"/>
      <c r="FV53" s="298"/>
      <c r="FW53" s="298"/>
      <c r="FX53" s="298"/>
      <c r="FY53" s="298"/>
      <c r="FZ53" s="298"/>
      <c r="GA53" s="298"/>
      <c r="GB53" s="298"/>
      <c r="GC53" s="298"/>
      <c r="GD53" s="298"/>
      <c r="GE53" s="298"/>
      <c r="GF53" s="298"/>
      <c r="GG53" s="298"/>
      <c r="GH53" s="298"/>
      <c r="GI53" s="298"/>
      <c r="GJ53" s="298"/>
      <c r="GK53" s="298"/>
      <c r="GL53" s="298"/>
      <c r="GM53" s="298"/>
      <c r="GN53" s="298"/>
      <c r="GO53" s="298"/>
      <c r="GP53" s="298"/>
      <c r="GQ53" s="298"/>
      <c r="GR53" s="298"/>
      <c r="GS53" s="298"/>
      <c r="GT53" s="298"/>
      <c r="GU53" s="298"/>
      <c r="GV53" s="298"/>
      <c r="GW53" s="298"/>
      <c r="GX53" s="298"/>
      <c r="GY53" s="298"/>
      <c r="GZ53" s="298"/>
      <c r="HA53" s="298"/>
      <c r="HB53" s="298"/>
      <c r="HC53" s="298"/>
      <c r="HD53" s="298"/>
      <c r="HE53" s="298"/>
      <c r="HF53" s="298"/>
      <c r="HG53" s="298"/>
      <c r="HH53" s="298"/>
      <c r="HI53" s="298"/>
      <c r="HJ53" s="298"/>
      <c r="HK53" s="298"/>
      <c r="HL53" s="298"/>
      <c r="HM53" s="298"/>
      <c r="HN53" s="298"/>
      <c r="HO53" s="298"/>
      <c r="HP53" s="298"/>
      <c r="HQ53" s="298"/>
      <c r="HR53" s="298"/>
      <c r="HS53" s="298"/>
      <c r="HT53" s="298"/>
      <c r="HU53" s="298"/>
      <c r="HV53" s="298"/>
      <c r="HW53" s="298"/>
      <c r="HX53" s="298"/>
      <c r="HY53" s="298"/>
      <c r="HZ53" s="298"/>
      <c r="IA53" s="298"/>
      <c r="IB53" s="298"/>
      <c r="IC53" s="298"/>
      <c r="ID53" s="298"/>
      <c r="IE53" s="298"/>
      <c r="IF53" s="298"/>
      <c r="IG53" s="298"/>
      <c r="IH53" s="298"/>
      <c r="II53" s="298"/>
      <c r="IJ53" s="298"/>
      <c r="IK53" s="298"/>
      <c r="IL53" s="298"/>
      <c r="IM53" s="298"/>
      <c r="IN53" s="298"/>
      <c r="IO53" s="298"/>
      <c r="IP53" s="298"/>
      <c r="IQ53" s="298"/>
      <c r="IR53" s="298"/>
      <c r="IS53" s="298"/>
      <c r="IT53" s="298"/>
      <c r="IU53" s="298"/>
      <c r="IV53" s="298"/>
    </row>
    <row r="54" spans="1:256" ht="21.75" customHeight="1" thickBot="1">
      <c r="A54" s="310" t="s">
        <v>311</v>
      </c>
      <c r="B54" s="313">
        <v>1713475.4</v>
      </c>
      <c r="C54" s="296"/>
      <c r="D54" s="297"/>
      <c r="E54" s="297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98"/>
      <c r="BD54" s="298"/>
      <c r="BE54" s="298"/>
      <c r="BF54" s="298"/>
      <c r="BG54" s="298"/>
      <c r="BH54" s="298"/>
      <c r="BI54" s="298"/>
      <c r="BJ54" s="298"/>
      <c r="BK54" s="298"/>
      <c r="BL54" s="298"/>
      <c r="BM54" s="298"/>
      <c r="BN54" s="298"/>
      <c r="BO54" s="298"/>
      <c r="BP54" s="298"/>
      <c r="BQ54" s="298"/>
      <c r="BR54" s="298"/>
      <c r="BS54" s="298"/>
      <c r="BT54" s="298"/>
      <c r="BU54" s="298"/>
      <c r="BV54" s="298"/>
      <c r="BW54" s="298"/>
      <c r="BX54" s="298"/>
      <c r="BY54" s="298"/>
      <c r="BZ54" s="298"/>
      <c r="CA54" s="298"/>
      <c r="CB54" s="298"/>
      <c r="CC54" s="298"/>
      <c r="CD54" s="298"/>
      <c r="CE54" s="298"/>
      <c r="CF54" s="298"/>
      <c r="CG54" s="298"/>
      <c r="CH54" s="298"/>
      <c r="CI54" s="298"/>
      <c r="CJ54" s="298"/>
      <c r="CK54" s="298"/>
      <c r="CL54" s="298"/>
      <c r="CM54" s="298"/>
      <c r="CN54" s="298"/>
      <c r="CO54" s="298"/>
      <c r="CP54" s="298"/>
      <c r="CQ54" s="298"/>
      <c r="CR54" s="298"/>
      <c r="CS54" s="298"/>
      <c r="CT54" s="298"/>
      <c r="CU54" s="298"/>
      <c r="CV54" s="298"/>
      <c r="CW54" s="298"/>
      <c r="CX54" s="298"/>
      <c r="CY54" s="298"/>
      <c r="CZ54" s="298"/>
      <c r="DA54" s="298"/>
      <c r="DB54" s="298"/>
      <c r="DC54" s="298"/>
      <c r="DD54" s="298"/>
      <c r="DE54" s="298"/>
      <c r="DF54" s="298"/>
      <c r="DG54" s="298"/>
      <c r="DH54" s="298"/>
      <c r="DI54" s="298"/>
      <c r="DJ54" s="298"/>
      <c r="DK54" s="298"/>
      <c r="DL54" s="298"/>
      <c r="DM54" s="298"/>
      <c r="DN54" s="298"/>
      <c r="DO54" s="298"/>
      <c r="DP54" s="298"/>
      <c r="DQ54" s="298"/>
      <c r="DR54" s="298"/>
      <c r="DS54" s="298"/>
      <c r="DT54" s="298"/>
      <c r="DU54" s="298"/>
      <c r="DV54" s="298"/>
      <c r="DW54" s="298"/>
      <c r="DX54" s="298"/>
      <c r="DY54" s="298"/>
      <c r="DZ54" s="298"/>
      <c r="EA54" s="298"/>
      <c r="EB54" s="298"/>
      <c r="EC54" s="298"/>
      <c r="ED54" s="298"/>
      <c r="EE54" s="298"/>
      <c r="EF54" s="298"/>
      <c r="EG54" s="298"/>
      <c r="EH54" s="298"/>
      <c r="EI54" s="298"/>
      <c r="EJ54" s="298"/>
      <c r="EK54" s="298"/>
      <c r="EL54" s="298"/>
      <c r="EM54" s="298"/>
      <c r="EN54" s="298"/>
      <c r="EO54" s="298"/>
      <c r="EP54" s="298"/>
      <c r="EQ54" s="298"/>
      <c r="ER54" s="298"/>
      <c r="ES54" s="298"/>
      <c r="ET54" s="298"/>
      <c r="EU54" s="298"/>
      <c r="EV54" s="298"/>
      <c r="EW54" s="298"/>
      <c r="EX54" s="298"/>
      <c r="EY54" s="298"/>
      <c r="EZ54" s="298"/>
      <c r="FA54" s="298"/>
      <c r="FB54" s="298"/>
      <c r="FC54" s="298"/>
      <c r="FD54" s="298"/>
      <c r="FE54" s="298"/>
      <c r="FF54" s="298"/>
      <c r="FG54" s="298"/>
      <c r="FH54" s="298"/>
      <c r="FI54" s="298"/>
      <c r="FJ54" s="298"/>
      <c r="FK54" s="298"/>
      <c r="FL54" s="298"/>
      <c r="FM54" s="298"/>
      <c r="FN54" s="298"/>
      <c r="FO54" s="298"/>
      <c r="FP54" s="298"/>
      <c r="FQ54" s="298"/>
      <c r="FR54" s="298"/>
      <c r="FS54" s="298"/>
      <c r="FT54" s="298"/>
      <c r="FU54" s="298"/>
      <c r="FV54" s="298"/>
      <c r="FW54" s="298"/>
      <c r="FX54" s="298"/>
      <c r="FY54" s="298"/>
      <c r="FZ54" s="298"/>
      <c r="GA54" s="298"/>
      <c r="GB54" s="298"/>
      <c r="GC54" s="298"/>
      <c r="GD54" s="298"/>
      <c r="GE54" s="298"/>
      <c r="GF54" s="298"/>
      <c r="GG54" s="298"/>
      <c r="GH54" s="298"/>
      <c r="GI54" s="298"/>
      <c r="GJ54" s="298"/>
      <c r="GK54" s="298"/>
      <c r="GL54" s="298"/>
      <c r="GM54" s="298"/>
      <c r="GN54" s="298"/>
      <c r="GO54" s="298"/>
      <c r="GP54" s="298"/>
      <c r="GQ54" s="298"/>
      <c r="GR54" s="298"/>
      <c r="GS54" s="298"/>
      <c r="GT54" s="298"/>
      <c r="GU54" s="298"/>
      <c r="GV54" s="298"/>
      <c r="GW54" s="298"/>
      <c r="GX54" s="298"/>
      <c r="GY54" s="298"/>
      <c r="GZ54" s="298"/>
      <c r="HA54" s="298"/>
      <c r="HB54" s="298"/>
      <c r="HC54" s="298"/>
      <c r="HD54" s="298"/>
      <c r="HE54" s="298"/>
      <c r="HF54" s="298"/>
      <c r="HG54" s="298"/>
      <c r="HH54" s="298"/>
      <c r="HI54" s="298"/>
      <c r="HJ54" s="298"/>
      <c r="HK54" s="298"/>
      <c r="HL54" s="298"/>
      <c r="HM54" s="298"/>
      <c r="HN54" s="298"/>
      <c r="HO54" s="298"/>
      <c r="HP54" s="298"/>
      <c r="HQ54" s="298"/>
      <c r="HR54" s="298"/>
      <c r="HS54" s="298"/>
      <c r="HT54" s="298"/>
      <c r="HU54" s="298"/>
      <c r="HV54" s="298"/>
      <c r="HW54" s="298"/>
      <c r="HX54" s="298"/>
      <c r="HY54" s="298"/>
      <c r="HZ54" s="298"/>
      <c r="IA54" s="298"/>
      <c r="IB54" s="298"/>
      <c r="IC54" s="298"/>
      <c r="ID54" s="298"/>
      <c r="IE54" s="298"/>
      <c r="IF54" s="298"/>
      <c r="IG54" s="298"/>
      <c r="IH54" s="298"/>
      <c r="II54" s="298"/>
      <c r="IJ54" s="298"/>
      <c r="IK54" s="298"/>
      <c r="IL54" s="298"/>
      <c r="IM54" s="298"/>
      <c r="IN54" s="298"/>
      <c r="IO54" s="298"/>
      <c r="IP54" s="298"/>
      <c r="IQ54" s="298"/>
      <c r="IR54" s="298"/>
      <c r="IS54" s="298"/>
      <c r="IT54" s="298"/>
      <c r="IU54" s="298"/>
      <c r="IV54" s="298"/>
    </row>
    <row r="55" spans="1:256" ht="27" customHeight="1" thickTop="1">
      <c r="A55" s="315" t="s">
        <v>281</v>
      </c>
      <c r="B55" s="316">
        <f>SUM(B30:B54)</f>
        <v>5442882.0600000005</v>
      </c>
      <c r="C55" s="296"/>
      <c r="D55" s="297"/>
      <c r="E55" s="297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8"/>
      <c r="BC55" s="298"/>
      <c r="BD55" s="298"/>
      <c r="BE55" s="298"/>
      <c r="BF55" s="298"/>
      <c r="BG55" s="298"/>
      <c r="BH55" s="298"/>
      <c r="BI55" s="298"/>
      <c r="BJ55" s="298"/>
      <c r="BK55" s="298"/>
      <c r="BL55" s="298"/>
      <c r="BM55" s="298"/>
      <c r="BN55" s="298"/>
      <c r="BO55" s="298"/>
      <c r="BP55" s="298"/>
      <c r="BQ55" s="298"/>
      <c r="BR55" s="298"/>
      <c r="BS55" s="298"/>
      <c r="BT55" s="298"/>
      <c r="BU55" s="298"/>
      <c r="BV55" s="298"/>
      <c r="BW55" s="298"/>
      <c r="BX55" s="298"/>
      <c r="BY55" s="298"/>
      <c r="BZ55" s="298"/>
      <c r="CA55" s="298"/>
      <c r="CB55" s="298"/>
      <c r="CC55" s="298"/>
      <c r="CD55" s="298"/>
      <c r="CE55" s="298"/>
      <c r="CF55" s="298"/>
      <c r="CG55" s="298"/>
      <c r="CH55" s="298"/>
      <c r="CI55" s="298"/>
      <c r="CJ55" s="298"/>
      <c r="CK55" s="298"/>
      <c r="CL55" s="298"/>
      <c r="CM55" s="298"/>
      <c r="CN55" s="298"/>
      <c r="CO55" s="298"/>
      <c r="CP55" s="298"/>
      <c r="CQ55" s="298"/>
      <c r="CR55" s="298"/>
      <c r="CS55" s="298"/>
      <c r="CT55" s="298"/>
      <c r="CU55" s="298"/>
      <c r="CV55" s="298"/>
      <c r="CW55" s="298"/>
      <c r="CX55" s="298"/>
      <c r="CY55" s="298"/>
      <c r="CZ55" s="298"/>
      <c r="DA55" s="298"/>
      <c r="DB55" s="298"/>
      <c r="DC55" s="298"/>
      <c r="DD55" s="298"/>
      <c r="DE55" s="298"/>
      <c r="DF55" s="298"/>
      <c r="DG55" s="298"/>
      <c r="DH55" s="298"/>
      <c r="DI55" s="298"/>
      <c r="DJ55" s="298"/>
      <c r="DK55" s="298"/>
      <c r="DL55" s="298"/>
      <c r="DM55" s="298"/>
      <c r="DN55" s="298"/>
      <c r="DO55" s="298"/>
      <c r="DP55" s="298"/>
      <c r="DQ55" s="298"/>
      <c r="DR55" s="298"/>
      <c r="DS55" s="298"/>
      <c r="DT55" s="298"/>
      <c r="DU55" s="298"/>
      <c r="DV55" s="298"/>
      <c r="DW55" s="298"/>
      <c r="DX55" s="298"/>
      <c r="DY55" s="298"/>
      <c r="DZ55" s="298"/>
      <c r="EA55" s="298"/>
      <c r="EB55" s="298"/>
      <c r="EC55" s="298"/>
      <c r="ED55" s="298"/>
      <c r="EE55" s="298"/>
      <c r="EF55" s="298"/>
      <c r="EG55" s="298"/>
      <c r="EH55" s="298"/>
      <c r="EI55" s="298"/>
      <c r="EJ55" s="298"/>
      <c r="EK55" s="298"/>
      <c r="EL55" s="298"/>
      <c r="EM55" s="298"/>
      <c r="EN55" s="298"/>
      <c r="EO55" s="298"/>
      <c r="EP55" s="298"/>
      <c r="EQ55" s="298"/>
      <c r="ER55" s="298"/>
      <c r="ES55" s="298"/>
      <c r="ET55" s="298"/>
      <c r="EU55" s="298"/>
      <c r="EV55" s="298"/>
      <c r="EW55" s="298"/>
      <c r="EX55" s="298"/>
      <c r="EY55" s="298"/>
      <c r="EZ55" s="298"/>
      <c r="FA55" s="298"/>
      <c r="FB55" s="298"/>
      <c r="FC55" s="298"/>
      <c r="FD55" s="298"/>
      <c r="FE55" s="298"/>
      <c r="FF55" s="298"/>
      <c r="FG55" s="298"/>
      <c r="FH55" s="298"/>
      <c r="FI55" s="298"/>
      <c r="FJ55" s="298"/>
      <c r="FK55" s="298"/>
      <c r="FL55" s="298"/>
      <c r="FM55" s="298"/>
      <c r="FN55" s="298"/>
      <c r="FO55" s="298"/>
      <c r="FP55" s="298"/>
      <c r="FQ55" s="298"/>
      <c r="FR55" s="298"/>
      <c r="FS55" s="298"/>
      <c r="FT55" s="298"/>
      <c r="FU55" s="298"/>
      <c r="FV55" s="298"/>
      <c r="FW55" s="298"/>
      <c r="FX55" s="298"/>
      <c r="FY55" s="298"/>
      <c r="FZ55" s="298"/>
      <c r="GA55" s="298"/>
      <c r="GB55" s="298"/>
      <c r="GC55" s="298"/>
      <c r="GD55" s="298"/>
      <c r="GE55" s="298"/>
      <c r="GF55" s="298"/>
      <c r="GG55" s="298"/>
      <c r="GH55" s="298"/>
      <c r="GI55" s="298"/>
      <c r="GJ55" s="298"/>
      <c r="GK55" s="298"/>
      <c r="GL55" s="298"/>
      <c r="GM55" s="298"/>
      <c r="GN55" s="298"/>
      <c r="GO55" s="298"/>
      <c r="GP55" s="298"/>
      <c r="GQ55" s="298"/>
      <c r="GR55" s="298"/>
      <c r="GS55" s="298"/>
      <c r="GT55" s="298"/>
      <c r="GU55" s="298"/>
      <c r="GV55" s="298"/>
      <c r="GW55" s="298"/>
      <c r="GX55" s="298"/>
      <c r="GY55" s="298"/>
      <c r="GZ55" s="298"/>
      <c r="HA55" s="298"/>
      <c r="HB55" s="298"/>
      <c r="HC55" s="298"/>
      <c r="HD55" s="298"/>
      <c r="HE55" s="298"/>
      <c r="HF55" s="298"/>
      <c r="HG55" s="298"/>
      <c r="HH55" s="298"/>
      <c r="HI55" s="298"/>
      <c r="HJ55" s="298"/>
      <c r="HK55" s="298"/>
      <c r="HL55" s="298"/>
      <c r="HM55" s="298"/>
      <c r="HN55" s="298"/>
      <c r="HO55" s="298"/>
      <c r="HP55" s="298"/>
      <c r="HQ55" s="298"/>
      <c r="HR55" s="298"/>
      <c r="HS55" s="298"/>
      <c r="HT55" s="298"/>
      <c r="HU55" s="298"/>
      <c r="HV55" s="298"/>
      <c r="HW55" s="298"/>
      <c r="HX55" s="298"/>
      <c r="HY55" s="298"/>
      <c r="HZ55" s="298"/>
      <c r="IA55" s="298"/>
      <c r="IB55" s="298"/>
      <c r="IC55" s="298"/>
      <c r="ID55" s="298"/>
      <c r="IE55" s="298"/>
      <c r="IF55" s="298"/>
      <c r="IG55" s="298"/>
      <c r="IH55" s="298"/>
      <c r="II55" s="298"/>
      <c r="IJ55" s="298"/>
      <c r="IK55" s="298"/>
      <c r="IL55" s="298"/>
      <c r="IM55" s="298"/>
      <c r="IN55" s="298"/>
      <c r="IO55" s="298"/>
      <c r="IP55" s="298"/>
      <c r="IQ55" s="298"/>
      <c r="IR55" s="298"/>
      <c r="IS55" s="298"/>
      <c r="IT55" s="298"/>
      <c r="IU55" s="298"/>
      <c r="IV55" s="298"/>
    </row>
    <row r="56" spans="1:256" ht="22.5" customHeight="1">
      <c r="A56" s="1645" t="s">
        <v>312</v>
      </c>
      <c r="B56" s="1646"/>
      <c r="C56" s="296"/>
      <c r="D56" s="297"/>
      <c r="E56" s="297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8"/>
      <c r="BC56" s="298"/>
      <c r="BD56" s="298"/>
      <c r="BE56" s="298"/>
      <c r="BF56" s="298"/>
      <c r="BG56" s="298"/>
      <c r="BH56" s="298"/>
      <c r="BI56" s="298"/>
      <c r="BJ56" s="298"/>
      <c r="BK56" s="298"/>
      <c r="BL56" s="298"/>
      <c r="BM56" s="298"/>
      <c r="BN56" s="298"/>
      <c r="BO56" s="298"/>
      <c r="BP56" s="298"/>
      <c r="BQ56" s="298"/>
      <c r="BR56" s="298"/>
      <c r="BS56" s="298"/>
      <c r="BT56" s="298"/>
      <c r="BU56" s="298"/>
      <c r="BV56" s="298"/>
      <c r="BW56" s="298"/>
      <c r="BX56" s="298"/>
      <c r="BY56" s="298"/>
      <c r="BZ56" s="298"/>
      <c r="CA56" s="298"/>
      <c r="CB56" s="298"/>
      <c r="CC56" s="298"/>
      <c r="CD56" s="298"/>
      <c r="CE56" s="298"/>
      <c r="CF56" s="298"/>
      <c r="CG56" s="298"/>
      <c r="CH56" s="298"/>
      <c r="CI56" s="298"/>
      <c r="CJ56" s="298"/>
      <c r="CK56" s="298"/>
      <c r="CL56" s="298"/>
      <c r="CM56" s="298"/>
      <c r="CN56" s="298"/>
      <c r="CO56" s="298"/>
      <c r="CP56" s="298"/>
      <c r="CQ56" s="298"/>
      <c r="CR56" s="298"/>
      <c r="CS56" s="298"/>
      <c r="CT56" s="298"/>
      <c r="CU56" s="298"/>
      <c r="CV56" s="298"/>
      <c r="CW56" s="298"/>
      <c r="CX56" s="298"/>
      <c r="CY56" s="298"/>
      <c r="CZ56" s="298"/>
      <c r="DA56" s="298"/>
      <c r="DB56" s="298"/>
      <c r="DC56" s="298"/>
      <c r="DD56" s="298"/>
      <c r="DE56" s="298"/>
      <c r="DF56" s="298"/>
      <c r="DG56" s="298"/>
      <c r="DH56" s="298"/>
      <c r="DI56" s="298"/>
      <c r="DJ56" s="298"/>
      <c r="DK56" s="298"/>
      <c r="DL56" s="298"/>
      <c r="DM56" s="298"/>
      <c r="DN56" s="298"/>
      <c r="DO56" s="298"/>
      <c r="DP56" s="298"/>
      <c r="DQ56" s="298"/>
      <c r="DR56" s="298"/>
      <c r="DS56" s="298"/>
      <c r="DT56" s="298"/>
      <c r="DU56" s="298"/>
      <c r="DV56" s="298"/>
      <c r="DW56" s="298"/>
      <c r="DX56" s="298"/>
      <c r="DY56" s="298"/>
      <c r="DZ56" s="298"/>
      <c r="EA56" s="298"/>
      <c r="EB56" s="298"/>
      <c r="EC56" s="298"/>
      <c r="ED56" s="298"/>
      <c r="EE56" s="298"/>
      <c r="EF56" s="298"/>
      <c r="EG56" s="298"/>
      <c r="EH56" s="298"/>
      <c r="EI56" s="298"/>
      <c r="EJ56" s="298"/>
      <c r="EK56" s="298"/>
      <c r="EL56" s="298"/>
      <c r="EM56" s="298"/>
      <c r="EN56" s="298"/>
      <c r="EO56" s="298"/>
      <c r="EP56" s="298"/>
      <c r="EQ56" s="298"/>
      <c r="ER56" s="298"/>
      <c r="ES56" s="298"/>
      <c r="ET56" s="298"/>
      <c r="EU56" s="298"/>
      <c r="EV56" s="298"/>
      <c r="EW56" s="298"/>
      <c r="EX56" s="298"/>
      <c r="EY56" s="298"/>
      <c r="EZ56" s="298"/>
      <c r="FA56" s="298"/>
      <c r="FB56" s="298"/>
      <c r="FC56" s="298"/>
      <c r="FD56" s="298"/>
      <c r="FE56" s="298"/>
      <c r="FF56" s="298"/>
      <c r="FG56" s="298"/>
      <c r="FH56" s="298"/>
      <c r="FI56" s="298"/>
      <c r="FJ56" s="298"/>
      <c r="FK56" s="298"/>
      <c r="FL56" s="298"/>
      <c r="FM56" s="298"/>
      <c r="FN56" s="298"/>
      <c r="FO56" s="298"/>
      <c r="FP56" s="298"/>
      <c r="FQ56" s="298"/>
      <c r="FR56" s="298"/>
      <c r="FS56" s="298"/>
      <c r="FT56" s="298"/>
      <c r="FU56" s="298"/>
      <c r="FV56" s="298"/>
      <c r="FW56" s="298"/>
      <c r="FX56" s="298"/>
      <c r="FY56" s="298"/>
      <c r="FZ56" s="298"/>
      <c r="GA56" s="298"/>
      <c r="GB56" s="298"/>
      <c r="GC56" s="298"/>
      <c r="GD56" s="298"/>
      <c r="GE56" s="298"/>
      <c r="GF56" s="298"/>
      <c r="GG56" s="298"/>
      <c r="GH56" s="298"/>
      <c r="GI56" s="298"/>
      <c r="GJ56" s="298"/>
      <c r="GK56" s="298"/>
      <c r="GL56" s="298"/>
      <c r="GM56" s="298"/>
      <c r="GN56" s="298"/>
      <c r="GO56" s="298"/>
      <c r="GP56" s="298"/>
      <c r="GQ56" s="298"/>
      <c r="GR56" s="298"/>
      <c r="GS56" s="298"/>
      <c r="GT56" s="298"/>
      <c r="GU56" s="298"/>
      <c r="GV56" s="298"/>
      <c r="GW56" s="298"/>
      <c r="GX56" s="298"/>
      <c r="GY56" s="298"/>
      <c r="GZ56" s="298"/>
      <c r="HA56" s="298"/>
      <c r="HB56" s="298"/>
      <c r="HC56" s="298"/>
      <c r="HD56" s="298"/>
      <c r="HE56" s="298"/>
      <c r="HF56" s="298"/>
      <c r="HG56" s="298"/>
      <c r="HH56" s="298"/>
      <c r="HI56" s="298"/>
      <c r="HJ56" s="298"/>
      <c r="HK56" s="298"/>
      <c r="HL56" s="298"/>
      <c r="HM56" s="298"/>
      <c r="HN56" s="298"/>
      <c r="HO56" s="298"/>
      <c r="HP56" s="298"/>
      <c r="HQ56" s="298"/>
      <c r="HR56" s="298"/>
      <c r="HS56" s="298"/>
      <c r="HT56" s="298"/>
      <c r="HU56" s="298"/>
      <c r="HV56" s="298"/>
      <c r="HW56" s="298"/>
      <c r="HX56" s="298"/>
      <c r="HY56" s="298"/>
      <c r="HZ56" s="298"/>
      <c r="IA56" s="298"/>
      <c r="IB56" s="298"/>
      <c r="IC56" s="298"/>
      <c r="ID56" s="298"/>
      <c r="IE56" s="298"/>
      <c r="IF56" s="298"/>
      <c r="IG56" s="298"/>
      <c r="IH56" s="298"/>
      <c r="II56" s="298"/>
      <c r="IJ56" s="298"/>
      <c r="IK56" s="298"/>
      <c r="IL56" s="298"/>
      <c r="IM56" s="298"/>
      <c r="IN56" s="298"/>
      <c r="IO56" s="298"/>
      <c r="IP56" s="298"/>
      <c r="IQ56" s="298"/>
      <c r="IR56" s="298"/>
      <c r="IS56" s="298"/>
      <c r="IT56" s="298"/>
      <c r="IU56" s="298"/>
      <c r="IV56" s="298"/>
    </row>
    <row r="57" spans="1:256" ht="21.75" customHeight="1">
      <c r="A57" s="1647" t="s">
        <v>702</v>
      </c>
      <c r="B57" s="1648"/>
      <c r="C57" s="317"/>
      <c r="D57" s="297"/>
      <c r="E57" s="297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8"/>
      <c r="BD57" s="298"/>
      <c r="BE57" s="298"/>
      <c r="BF57" s="298"/>
      <c r="BG57" s="298"/>
      <c r="BH57" s="298"/>
      <c r="BI57" s="298"/>
      <c r="BJ57" s="298"/>
      <c r="BK57" s="298"/>
      <c r="BL57" s="298"/>
      <c r="BM57" s="298"/>
      <c r="BN57" s="298"/>
      <c r="BO57" s="298"/>
      <c r="BP57" s="298"/>
      <c r="BQ57" s="298"/>
      <c r="BR57" s="298"/>
      <c r="BS57" s="298"/>
      <c r="BT57" s="298"/>
      <c r="BU57" s="298"/>
      <c r="BV57" s="298"/>
      <c r="BW57" s="298"/>
      <c r="BX57" s="298"/>
      <c r="BY57" s="298"/>
      <c r="BZ57" s="298"/>
      <c r="CA57" s="298"/>
      <c r="CB57" s="298"/>
      <c r="CC57" s="298"/>
      <c r="CD57" s="298"/>
      <c r="CE57" s="298"/>
      <c r="CF57" s="298"/>
      <c r="CG57" s="298"/>
      <c r="CH57" s="298"/>
      <c r="CI57" s="298"/>
      <c r="CJ57" s="298"/>
      <c r="CK57" s="298"/>
      <c r="CL57" s="298"/>
      <c r="CM57" s="298"/>
      <c r="CN57" s="298"/>
      <c r="CO57" s="298"/>
      <c r="CP57" s="298"/>
      <c r="CQ57" s="298"/>
      <c r="CR57" s="298"/>
      <c r="CS57" s="298"/>
      <c r="CT57" s="298"/>
      <c r="CU57" s="298"/>
      <c r="CV57" s="298"/>
      <c r="CW57" s="298"/>
      <c r="CX57" s="298"/>
      <c r="CY57" s="298"/>
      <c r="CZ57" s="298"/>
      <c r="DA57" s="298"/>
      <c r="DB57" s="298"/>
      <c r="DC57" s="298"/>
      <c r="DD57" s="298"/>
      <c r="DE57" s="298"/>
      <c r="DF57" s="298"/>
      <c r="DG57" s="298"/>
      <c r="DH57" s="298"/>
      <c r="DI57" s="298"/>
      <c r="DJ57" s="298"/>
      <c r="DK57" s="298"/>
      <c r="DL57" s="298"/>
      <c r="DM57" s="298"/>
      <c r="DN57" s="298"/>
      <c r="DO57" s="298"/>
      <c r="DP57" s="298"/>
      <c r="DQ57" s="298"/>
      <c r="DR57" s="298"/>
      <c r="DS57" s="298"/>
      <c r="DT57" s="298"/>
      <c r="DU57" s="298"/>
      <c r="DV57" s="298"/>
      <c r="DW57" s="298"/>
      <c r="DX57" s="298"/>
      <c r="DY57" s="298"/>
      <c r="DZ57" s="298"/>
      <c r="EA57" s="298"/>
      <c r="EB57" s="298"/>
      <c r="EC57" s="298"/>
      <c r="ED57" s="298"/>
      <c r="EE57" s="298"/>
      <c r="EF57" s="298"/>
      <c r="EG57" s="298"/>
      <c r="EH57" s="298"/>
      <c r="EI57" s="298"/>
      <c r="EJ57" s="298"/>
      <c r="EK57" s="298"/>
      <c r="EL57" s="298"/>
      <c r="EM57" s="298"/>
      <c r="EN57" s="298"/>
      <c r="EO57" s="298"/>
      <c r="EP57" s="298"/>
      <c r="EQ57" s="298"/>
      <c r="ER57" s="298"/>
      <c r="ES57" s="298"/>
      <c r="ET57" s="298"/>
      <c r="EU57" s="298"/>
      <c r="EV57" s="298"/>
      <c r="EW57" s="298"/>
      <c r="EX57" s="298"/>
      <c r="EY57" s="298"/>
      <c r="EZ57" s="298"/>
      <c r="FA57" s="298"/>
      <c r="FB57" s="298"/>
      <c r="FC57" s="298"/>
      <c r="FD57" s="298"/>
      <c r="FE57" s="298"/>
      <c r="FF57" s="298"/>
      <c r="FG57" s="298"/>
      <c r="FH57" s="298"/>
      <c r="FI57" s="298"/>
      <c r="FJ57" s="298"/>
      <c r="FK57" s="298"/>
      <c r="FL57" s="298"/>
      <c r="FM57" s="298"/>
      <c r="FN57" s="298"/>
      <c r="FO57" s="298"/>
      <c r="FP57" s="298"/>
      <c r="FQ57" s="298"/>
      <c r="FR57" s="298"/>
      <c r="FS57" s="298"/>
      <c r="FT57" s="298"/>
      <c r="FU57" s="298"/>
      <c r="FV57" s="298"/>
      <c r="FW57" s="298"/>
      <c r="FX57" s="298"/>
      <c r="FY57" s="298"/>
      <c r="FZ57" s="298"/>
      <c r="GA57" s="298"/>
      <c r="GB57" s="298"/>
      <c r="GC57" s="298"/>
      <c r="GD57" s="298"/>
      <c r="GE57" s="298"/>
      <c r="GF57" s="298"/>
      <c r="GG57" s="298"/>
      <c r="GH57" s="298"/>
      <c r="GI57" s="298"/>
      <c r="GJ57" s="298"/>
      <c r="GK57" s="298"/>
      <c r="GL57" s="298"/>
      <c r="GM57" s="298"/>
      <c r="GN57" s="298"/>
      <c r="GO57" s="298"/>
      <c r="GP57" s="298"/>
      <c r="GQ57" s="298"/>
      <c r="GR57" s="298"/>
      <c r="GS57" s="298"/>
      <c r="GT57" s="298"/>
      <c r="GU57" s="298"/>
      <c r="GV57" s="298"/>
      <c r="GW57" s="298"/>
      <c r="GX57" s="298"/>
      <c r="GY57" s="298"/>
      <c r="GZ57" s="298"/>
      <c r="HA57" s="298"/>
      <c r="HB57" s="298"/>
      <c r="HC57" s="298"/>
      <c r="HD57" s="298"/>
      <c r="HE57" s="298"/>
      <c r="HF57" s="298"/>
      <c r="HG57" s="298"/>
      <c r="HH57" s="298"/>
      <c r="HI57" s="298"/>
      <c r="HJ57" s="298"/>
      <c r="HK57" s="298"/>
      <c r="HL57" s="298"/>
      <c r="HM57" s="298"/>
      <c r="HN57" s="298"/>
      <c r="HO57" s="298"/>
      <c r="HP57" s="298"/>
      <c r="HQ57" s="298"/>
      <c r="HR57" s="298"/>
      <c r="HS57" s="298"/>
      <c r="HT57" s="298"/>
      <c r="HU57" s="298"/>
      <c r="HV57" s="298"/>
      <c r="HW57" s="298"/>
      <c r="HX57" s="298"/>
      <c r="HY57" s="298"/>
      <c r="HZ57" s="298"/>
      <c r="IA57" s="298"/>
      <c r="IB57" s="298"/>
      <c r="IC57" s="298"/>
      <c r="ID57" s="298"/>
      <c r="IE57" s="298"/>
      <c r="IF57" s="298"/>
      <c r="IG57" s="298"/>
      <c r="IH57" s="298"/>
      <c r="II57" s="298"/>
      <c r="IJ57" s="298"/>
      <c r="IK57" s="298"/>
      <c r="IL57" s="298"/>
      <c r="IM57" s="298"/>
      <c r="IN57" s="298"/>
      <c r="IO57" s="298"/>
      <c r="IP57" s="298"/>
      <c r="IQ57" s="298"/>
      <c r="IR57" s="298"/>
      <c r="IS57" s="298"/>
      <c r="IT57" s="298"/>
      <c r="IU57" s="298"/>
      <c r="IV57" s="298"/>
    </row>
    <row r="58" spans="1:256" ht="21.75" customHeight="1">
      <c r="A58" s="318" t="s">
        <v>564</v>
      </c>
      <c r="B58" s="746">
        <v>4916</v>
      </c>
      <c r="C58" s="317"/>
      <c r="D58" s="297"/>
      <c r="E58" s="297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  <c r="BF58" s="298"/>
      <c r="BG58" s="298"/>
      <c r="BH58" s="298"/>
      <c r="BI58" s="298"/>
      <c r="BJ58" s="298"/>
      <c r="BK58" s="298"/>
      <c r="BL58" s="298"/>
      <c r="BM58" s="298"/>
      <c r="BN58" s="298"/>
      <c r="BO58" s="298"/>
      <c r="BP58" s="298"/>
      <c r="BQ58" s="298"/>
      <c r="BR58" s="298"/>
      <c r="BS58" s="298"/>
      <c r="BT58" s="298"/>
      <c r="BU58" s="298"/>
      <c r="BV58" s="298"/>
      <c r="BW58" s="298"/>
      <c r="BX58" s="298"/>
      <c r="BY58" s="298"/>
      <c r="BZ58" s="298"/>
      <c r="CA58" s="298"/>
      <c r="CB58" s="298"/>
      <c r="CC58" s="298"/>
      <c r="CD58" s="298"/>
      <c r="CE58" s="298"/>
      <c r="CF58" s="298"/>
      <c r="CG58" s="298"/>
      <c r="CH58" s="298"/>
      <c r="CI58" s="298"/>
      <c r="CJ58" s="298"/>
      <c r="CK58" s="298"/>
      <c r="CL58" s="298"/>
      <c r="CM58" s="298"/>
      <c r="CN58" s="298"/>
      <c r="CO58" s="298"/>
      <c r="CP58" s="298"/>
      <c r="CQ58" s="298"/>
      <c r="CR58" s="298"/>
      <c r="CS58" s="298"/>
      <c r="CT58" s="298"/>
      <c r="CU58" s="298"/>
      <c r="CV58" s="298"/>
      <c r="CW58" s="298"/>
      <c r="CX58" s="298"/>
      <c r="CY58" s="298"/>
      <c r="CZ58" s="298"/>
      <c r="DA58" s="298"/>
      <c r="DB58" s="298"/>
      <c r="DC58" s="298"/>
      <c r="DD58" s="298"/>
      <c r="DE58" s="298"/>
      <c r="DF58" s="298"/>
      <c r="DG58" s="298"/>
      <c r="DH58" s="298"/>
      <c r="DI58" s="298"/>
      <c r="DJ58" s="298"/>
      <c r="DK58" s="298"/>
      <c r="DL58" s="298"/>
      <c r="DM58" s="298"/>
      <c r="DN58" s="298"/>
      <c r="DO58" s="298"/>
      <c r="DP58" s="298"/>
      <c r="DQ58" s="298"/>
      <c r="DR58" s="298"/>
      <c r="DS58" s="298"/>
      <c r="DT58" s="298"/>
      <c r="DU58" s="298"/>
      <c r="DV58" s="298"/>
      <c r="DW58" s="298"/>
      <c r="DX58" s="298"/>
      <c r="DY58" s="298"/>
      <c r="DZ58" s="298"/>
      <c r="EA58" s="298"/>
      <c r="EB58" s="298"/>
      <c r="EC58" s="298"/>
      <c r="ED58" s="298"/>
      <c r="EE58" s="298"/>
      <c r="EF58" s="298"/>
      <c r="EG58" s="298"/>
      <c r="EH58" s="298"/>
      <c r="EI58" s="298"/>
      <c r="EJ58" s="298"/>
      <c r="EK58" s="298"/>
      <c r="EL58" s="298"/>
      <c r="EM58" s="298"/>
      <c r="EN58" s="298"/>
      <c r="EO58" s="298"/>
      <c r="EP58" s="298"/>
      <c r="EQ58" s="298"/>
      <c r="ER58" s="298"/>
      <c r="ES58" s="298"/>
      <c r="ET58" s="298"/>
      <c r="EU58" s="298"/>
      <c r="EV58" s="298"/>
      <c r="EW58" s="298"/>
      <c r="EX58" s="298"/>
      <c r="EY58" s="298"/>
      <c r="EZ58" s="298"/>
      <c r="FA58" s="298"/>
      <c r="FB58" s="298"/>
      <c r="FC58" s="298"/>
      <c r="FD58" s="298"/>
      <c r="FE58" s="298"/>
      <c r="FF58" s="298"/>
      <c r="FG58" s="298"/>
      <c r="FH58" s="298"/>
      <c r="FI58" s="298"/>
      <c r="FJ58" s="298"/>
      <c r="FK58" s="298"/>
      <c r="FL58" s="298"/>
      <c r="FM58" s="298"/>
      <c r="FN58" s="298"/>
      <c r="FO58" s="298"/>
      <c r="FP58" s="298"/>
      <c r="FQ58" s="298"/>
      <c r="FR58" s="298"/>
      <c r="FS58" s="298"/>
      <c r="FT58" s="298"/>
      <c r="FU58" s="298"/>
      <c r="FV58" s="298"/>
      <c r="FW58" s="298"/>
      <c r="FX58" s="298"/>
      <c r="FY58" s="298"/>
      <c r="FZ58" s="298"/>
      <c r="GA58" s="298"/>
      <c r="GB58" s="298"/>
      <c r="GC58" s="298"/>
      <c r="GD58" s="298"/>
      <c r="GE58" s="298"/>
      <c r="GF58" s="298"/>
      <c r="GG58" s="298"/>
      <c r="GH58" s="298"/>
      <c r="GI58" s="298"/>
      <c r="GJ58" s="298"/>
      <c r="GK58" s="298"/>
      <c r="GL58" s="298"/>
      <c r="GM58" s="298"/>
      <c r="GN58" s="298"/>
      <c r="GO58" s="298"/>
      <c r="GP58" s="298"/>
      <c r="GQ58" s="298"/>
      <c r="GR58" s="298"/>
      <c r="GS58" s="298"/>
      <c r="GT58" s="298"/>
      <c r="GU58" s="298"/>
      <c r="GV58" s="298"/>
      <c r="GW58" s="298"/>
      <c r="GX58" s="298"/>
      <c r="GY58" s="298"/>
      <c r="GZ58" s="298"/>
      <c r="HA58" s="298"/>
      <c r="HB58" s="298"/>
      <c r="HC58" s="298"/>
      <c r="HD58" s="298"/>
      <c r="HE58" s="298"/>
      <c r="HF58" s="298"/>
      <c r="HG58" s="298"/>
      <c r="HH58" s="298"/>
      <c r="HI58" s="298"/>
      <c r="HJ58" s="298"/>
      <c r="HK58" s="298"/>
      <c r="HL58" s="298"/>
      <c r="HM58" s="298"/>
      <c r="HN58" s="298"/>
      <c r="HO58" s="298"/>
      <c r="HP58" s="298"/>
      <c r="HQ58" s="298"/>
      <c r="HR58" s="298"/>
      <c r="HS58" s="298"/>
      <c r="HT58" s="298"/>
      <c r="HU58" s="298"/>
      <c r="HV58" s="298"/>
      <c r="HW58" s="298"/>
      <c r="HX58" s="298"/>
      <c r="HY58" s="298"/>
      <c r="HZ58" s="298"/>
      <c r="IA58" s="298"/>
      <c r="IB58" s="298"/>
      <c r="IC58" s="298"/>
      <c r="ID58" s="298"/>
      <c r="IE58" s="298"/>
      <c r="IF58" s="298"/>
      <c r="IG58" s="298"/>
      <c r="IH58" s="298"/>
      <c r="II58" s="298"/>
      <c r="IJ58" s="298"/>
      <c r="IK58" s="298"/>
      <c r="IL58" s="298"/>
      <c r="IM58" s="298"/>
      <c r="IN58" s="298"/>
      <c r="IO58" s="298"/>
      <c r="IP58" s="298"/>
      <c r="IQ58" s="298"/>
      <c r="IR58" s="298"/>
      <c r="IS58" s="298"/>
      <c r="IT58" s="298"/>
      <c r="IU58" s="298"/>
      <c r="IV58" s="298"/>
    </row>
    <row r="59" spans="1:256" ht="21.75" customHeight="1">
      <c r="A59" s="318" t="s">
        <v>565</v>
      </c>
      <c r="B59" s="747">
        <v>8111</v>
      </c>
      <c r="C59" s="317"/>
      <c r="D59" s="297"/>
      <c r="E59" s="297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8"/>
      <c r="BG59" s="298"/>
      <c r="BH59" s="298"/>
      <c r="BI59" s="298"/>
      <c r="BJ59" s="298"/>
      <c r="BK59" s="298"/>
      <c r="BL59" s="298"/>
      <c r="BM59" s="298"/>
      <c r="BN59" s="298"/>
      <c r="BO59" s="298"/>
      <c r="BP59" s="298"/>
      <c r="BQ59" s="298"/>
      <c r="BR59" s="298"/>
      <c r="BS59" s="298"/>
      <c r="BT59" s="298"/>
      <c r="BU59" s="298"/>
      <c r="BV59" s="298"/>
      <c r="BW59" s="298"/>
      <c r="BX59" s="298"/>
      <c r="BY59" s="298"/>
      <c r="BZ59" s="298"/>
      <c r="CA59" s="298"/>
      <c r="CB59" s="298"/>
      <c r="CC59" s="298"/>
      <c r="CD59" s="298"/>
      <c r="CE59" s="298"/>
      <c r="CF59" s="298"/>
      <c r="CG59" s="298"/>
      <c r="CH59" s="298"/>
      <c r="CI59" s="298"/>
      <c r="CJ59" s="298"/>
      <c r="CK59" s="298"/>
      <c r="CL59" s="298"/>
      <c r="CM59" s="298"/>
      <c r="CN59" s="298"/>
      <c r="CO59" s="298"/>
      <c r="CP59" s="298"/>
      <c r="CQ59" s="298"/>
      <c r="CR59" s="298"/>
      <c r="CS59" s="298"/>
      <c r="CT59" s="298"/>
      <c r="CU59" s="298"/>
      <c r="CV59" s="298"/>
      <c r="CW59" s="298"/>
      <c r="CX59" s="298"/>
      <c r="CY59" s="298"/>
      <c r="CZ59" s="298"/>
      <c r="DA59" s="298"/>
      <c r="DB59" s="298"/>
      <c r="DC59" s="298"/>
      <c r="DD59" s="298"/>
      <c r="DE59" s="298"/>
      <c r="DF59" s="298"/>
      <c r="DG59" s="298"/>
      <c r="DH59" s="298"/>
      <c r="DI59" s="298"/>
      <c r="DJ59" s="298"/>
      <c r="DK59" s="298"/>
      <c r="DL59" s="298"/>
      <c r="DM59" s="298"/>
      <c r="DN59" s="298"/>
      <c r="DO59" s="298"/>
      <c r="DP59" s="298"/>
      <c r="DQ59" s="298"/>
      <c r="DR59" s="298"/>
      <c r="DS59" s="298"/>
      <c r="DT59" s="298"/>
      <c r="DU59" s="298"/>
      <c r="DV59" s="298"/>
      <c r="DW59" s="298"/>
      <c r="DX59" s="298"/>
      <c r="DY59" s="298"/>
      <c r="DZ59" s="298"/>
      <c r="EA59" s="298"/>
      <c r="EB59" s="298"/>
      <c r="EC59" s="298"/>
      <c r="ED59" s="298"/>
      <c r="EE59" s="298"/>
      <c r="EF59" s="298"/>
      <c r="EG59" s="298"/>
      <c r="EH59" s="298"/>
      <c r="EI59" s="298"/>
      <c r="EJ59" s="298"/>
      <c r="EK59" s="298"/>
      <c r="EL59" s="298"/>
      <c r="EM59" s="298"/>
      <c r="EN59" s="298"/>
      <c r="EO59" s="298"/>
      <c r="EP59" s="298"/>
      <c r="EQ59" s="298"/>
      <c r="ER59" s="298"/>
      <c r="ES59" s="298"/>
      <c r="ET59" s="298"/>
      <c r="EU59" s="298"/>
      <c r="EV59" s="298"/>
      <c r="EW59" s="298"/>
      <c r="EX59" s="298"/>
      <c r="EY59" s="298"/>
      <c r="EZ59" s="298"/>
      <c r="FA59" s="298"/>
      <c r="FB59" s="298"/>
      <c r="FC59" s="298"/>
      <c r="FD59" s="298"/>
      <c r="FE59" s="298"/>
      <c r="FF59" s="298"/>
      <c r="FG59" s="298"/>
      <c r="FH59" s="298"/>
      <c r="FI59" s="298"/>
      <c r="FJ59" s="298"/>
      <c r="FK59" s="298"/>
      <c r="FL59" s="298"/>
      <c r="FM59" s="298"/>
      <c r="FN59" s="298"/>
      <c r="FO59" s="298"/>
      <c r="FP59" s="298"/>
      <c r="FQ59" s="298"/>
      <c r="FR59" s="298"/>
      <c r="FS59" s="298"/>
      <c r="FT59" s="298"/>
      <c r="FU59" s="298"/>
      <c r="FV59" s="298"/>
      <c r="FW59" s="298"/>
      <c r="FX59" s="298"/>
      <c r="FY59" s="298"/>
      <c r="FZ59" s="298"/>
      <c r="GA59" s="298"/>
      <c r="GB59" s="298"/>
      <c r="GC59" s="298"/>
      <c r="GD59" s="298"/>
      <c r="GE59" s="298"/>
      <c r="GF59" s="298"/>
      <c r="GG59" s="298"/>
      <c r="GH59" s="298"/>
      <c r="GI59" s="298"/>
      <c r="GJ59" s="298"/>
      <c r="GK59" s="298"/>
      <c r="GL59" s="298"/>
      <c r="GM59" s="298"/>
      <c r="GN59" s="298"/>
      <c r="GO59" s="298"/>
      <c r="GP59" s="298"/>
      <c r="GQ59" s="298"/>
      <c r="GR59" s="298"/>
      <c r="GS59" s="298"/>
      <c r="GT59" s="298"/>
      <c r="GU59" s="298"/>
      <c r="GV59" s="298"/>
      <c r="GW59" s="298"/>
      <c r="GX59" s="298"/>
      <c r="GY59" s="298"/>
      <c r="GZ59" s="298"/>
      <c r="HA59" s="298"/>
      <c r="HB59" s="298"/>
      <c r="HC59" s="298"/>
      <c r="HD59" s="298"/>
      <c r="HE59" s="298"/>
      <c r="HF59" s="298"/>
      <c r="HG59" s="298"/>
      <c r="HH59" s="298"/>
      <c r="HI59" s="298"/>
      <c r="HJ59" s="298"/>
      <c r="HK59" s="298"/>
      <c r="HL59" s="298"/>
      <c r="HM59" s="298"/>
      <c r="HN59" s="298"/>
      <c r="HO59" s="298"/>
      <c r="HP59" s="298"/>
      <c r="HQ59" s="298"/>
      <c r="HR59" s="298"/>
      <c r="HS59" s="298"/>
      <c r="HT59" s="298"/>
      <c r="HU59" s="298"/>
      <c r="HV59" s="298"/>
      <c r="HW59" s="298"/>
      <c r="HX59" s="298"/>
      <c r="HY59" s="298"/>
      <c r="HZ59" s="298"/>
      <c r="IA59" s="298"/>
      <c r="IB59" s="298"/>
      <c r="IC59" s="298"/>
      <c r="ID59" s="298"/>
      <c r="IE59" s="298"/>
      <c r="IF59" s="298"/>
      <c r="IG59" s="298"/>
      <c r="IH59" s="298"/>
      <c r="II59" s="298"/>
      <c r="IJ59" s="298"/>
      <c r="IK59" s="298"/>
      <c r="IL59" s="298"/>
      <c r="IM59" s="298"/>
      <c r="IN59" s="298"/>
      <c r="IO59" s="298"/>
      <c r="IP59" s="298"/>
      <c r="IQ59" s="298"/>
      <c r="IR59" s="298"/>
      <c r="IS59" s="298"/>
      <c r="IT59" s="298"/>
      <c r="IU59" s="298"/>
      <c r="IV59" s="298"/>
    </row>
    <row r="60" spans="1:256" ht="21.75" customHeight="1">
      <c r="A60" s="679" t="s">
        <v>566</v>
      </c>
      <c r="B60" s="680">
        <v>5638</v>
      </c>
      <c r="C60" s="317"/>
      <c r="D60" s="297"/>
      <c r="E60" s="297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298"/>
      <c r="BH60" s="298"/>
      <c r="BI60" s="298"/>
      <c r="BJ60" s="298"/>
      <c r="BK60" s="298"/>
      <c r="BL60" s="298"/>
      <c r="BM60" s="298"/>
      <c r="BN60" s="298"/>
      <c r="BO60" s="298"/>
      <c r="BP60" s="298"/>
      <c r="BQ60" s="298"/>
      <c r="BR60" s="298"/>
      <c r="BS60" s="298"/>
      <c r="BT60" s="298"/>
      <c r="BU60" s="298"/>
      <c r="BV60" s="298"/>
      <c r="BW60" s="298"/>
      <c r="BX60" s="298"/>
      <c r="BY60" s="298"/>
      <c r="BZ60" s="298"/>
      <c r="CA60" s="298"/>
      <c r="CB60" s="298"/>
      <c r="CC60" s="298"/>
      <c r="CD60" s="298"/>
      <c r="CE60" s="298"/>
      <c r="CF60" s="298"/>
      <c r="CG60" s="298"/>
      <c r="CH60" s="298"/>
      <c r="CI60" s="298"/>
      <c r="CJ60" s="298"/>
      <c r="CK60" s="298"/>
      <c r="CL60" s="298"/>
      <c r="CM60" s="298"/>
      <c r="CN60" s="298"/>
      <c r="CO60" s="298"/>
      <c r="CP60" s="298"/>
      <c r="CQ60" s="298"/>
      <c r="CR60" s="298"/>
      <c r="CS60" s="298"/>
      <c r="CT60" s="298"/>
      <c r="CU60" s="298"/>
      <c r="CV60" s="298"/>
      <c r="CW60" s="298"/>
      <c r="CX60" s="298"/>
      <c r="CY60" s="298"/>
      <c r="CZ60" s="298"/>
      <c r="DA60" s="298"/>
      <c r="DB60" s="298"/>
      <c r="DC60" s="298"/>
      <c r="DD60" s="298"/>
      <c r="DE60" s="298"/>
      <c r="DF60" s="298"/>
      <c r="DG60" s="298"/>
      <c r="DH60" s="298"/>
      <c r="DI60" s="298"/>
      <c r="DJ60" s="298"/>
      <c r="DK60" s="298"/>
      <c r="DL60" s="298"/>
      <c r="DM60" s="298"/>
      <c r="DN60" s="298"/>
      <c r="DO60" s="298"/>
      <c r="DP60" s="298"/>
      <c r="DQ60" s="298"/>
      <c r="DR60" s="298"/>
      <c r="DS60" s="298"/>
      <c r="DT60" s="298"/>
      <c r="DU60" s="298"/>
      <c r="DV60" s="298"/>
      <c r="DW60" s="298"/>
      <c r="DX60" s="298"/>
      <c r="DY60" s="298"/>
      <c r="DZ60" s="298"/>
      <c r="EA60" s="298"/>
      <c r="EB60" s="298"/>
      <c r="EC60" s="298"/>
      <c r="ED60" s="298"/>
      <c r="EE60" s="298"/>
      <c r="EF60" s="298"/>
      <c r="EG60" s="298"/>
      <c r="EH60" s="298"/>
      <c r="EI60" s="298"/>
      <c r="EJ60" s="298"/>
      <c r="EK60" s="298"/>
      <c r="EL60" s="298"/>
      <c r="EM60" s="298"/>
      <c r="EN60" s="298"/>
      <c r="EO60" s="298"/>
      <c r="EP60" s="298"/>
      <c r="EQ60" s="298"/>
      <c r="ER60" s="298"/>
      <c r="ES60" s="298"/>
      <c r="ET60" s="298"/>
      <c r="EU60" s="298"/>
      <c r="EV60" s="298"/>
      <c r="EW60" s="298"/>
      <c r="EX60" s="298"/>
      <c r="EY60" s="298"/>
      <c r="EZ60" s="298"/>
      <c r="FA60" s="298"/>
      <c r="FB60" s="298"/>
      <c r="FC60" s="298"/>
      <c r="FD60" s="298"/>
      <c r="FE60" s="298"/>
      <c r="FF60" s="298"/>
      <c r="FG60" s="298"/>
      <c r="FH60" s="298"/>
      <c r="FI60" s="298"/>
      <c r="FJ60" s="298"/>
      <c r="FK60" s="298"/>
      <c r="FL60" s="298"/>
      <c r="FM60" s="298"/>
      <c r="FN60" s="298"/>
      <c r="FO60" s="298"/>
      <c r="FP60" s="298"/>
      <c r="FQ60" s="298"/>
      <c r="FR60" s="298"/>
      <c r="FS60" s="298"/>
      <c r="FT60" s="298"/>
      <c r="FU60" s="298"/>
      <c r="FV60" s="298"/>
      <c r="FW60" s="298"/>
      <c r="FX60" s="298"/>
      <c r="FY60" s="298"/>
      <c r="FZ60" s="298"/>
      <c r="GA60" s="298"/>
      <c r="GB60" s="298"/>
      <c r="GC60" s="298"/>
      <c r="GD60" s="298"/>
      <c r="GE60" s="298"/>
      <c r="GF60" s="298"/>
      <c r="GG60" s="298"/>
      <c r="GH60" s="298"/>
      <c r="GI60" s="298"/>
      <c r="GJ60" s="298"/>
      <c r="GK60" s="298"/>
      <c r="GL60" s="298"/>
      <c r="GM60" s="298"/>
      <c r="GN60" s="298"/>
      <c r="GO60" s="298"/>
      <c r="GP60" s="298"/>
      <c r="GQ60" s="298"/>
      <c r="GR60" s="298"/>
      <c r="GS60" s="298"/>
      <c r="GT60" s="298"/>
      <c r="GU60" s="298"/>
      <c r="GV60" s="298"/>
      <c r="GW60" s="298"/>
      <c r="GX60" s="298"/>
      <c r="GY60" s="298"/>
      <c r="GZ60" s="298"/>
      <c r="HA60" s="298"/>
      <c r="HB60" s="298"/>
      <c r="HC60" s="298"/>
      <c r="HD60" s="298"/>
      <c r="HE60" s="298"/>
      <c r="HF60" s="298"/>
      <c r="HG60" s="298"/>
      <c r="HH60" s="298"/>
      <c r="HI60" s="298"/>
      <c r="HJ60" s="298"/>
      <c r="HK60" s="298"/>
      <c r="HL60" s="298"/>
      <c r="HM60" s="298"/>
      <c r="HN60" s="298"/>
      <c r="HO60" s="298"/>
      <c r="HP60" s="298"/>
      <c r="HQ60" s="298"/>
      <c r="HR60" s="298"/>
      <c r="HS60" s="298"/>
      <c r="HT60" s="298"/>
      <c r="HU60" s="298"/>
      <c r="HV60" s="298"/>
      <c r="HW60" s="298"/>
      <c r="HX60" s="298"/>
      <c r="HY60" s="298"/>
      <c r="HZ60" s="298"/>
      <c r="IA60" s="298"/>
      <c r="IB60" s="298"/>
      <c r="IC60" s="298"/>
      <c r="ID60" s="298"/>
      <c r="IE60" s="298"/>
      <c r="IF60" s="298"/>
      <c r="IG60" s="298"/>
      <c r="IH60" s="298"/>
      <c r="II60" s="298"/>
      <c r="IJ60" s="298"/>
      <c r="IK60" s="298"/>
      <c r="IL60" s="298"/>
      <c r="IM60" s="298"/>
      <c r="IN60" s="298"/>
      <c r="IO60" s="298"/>
      <c r="IP60" s="298"/>
      <c r="IQ60" s="298"/>
      <c r="IR60" s="298"/>
      <c r="IS60" s="298"/>
      <c r="IT60" s="298"/>
      <c r="IU60" s="298"/>
      <c r="IV60" s="298"/>
    </row>
    <row r="61" spans="1:256" ht="21.75" customHeight="1">
      <c r="A61" s="679" t="s">
        <v>567</v>
      </c>
      <c r="B61" s="680">
        <v>169</v>
      </c>
      <c r="C61" s="317"/>
      <c r="D61" s="297"/>
      <c r="E61" s="297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298"/>
      <c r="BO61" s="298"/>
      <c r="BP61" s="298"/>
      <c r="BQ61" s="298"/>
      <c r="BR61" s="298"/>
      <c r="BS61" s="298"/>
      <c r="BT61" s="298"/>
      <c r="BU61" s="298"/>
      <c r="BV61" s="298"/>
      <c r="BW61" s="298"/>
      <c r="BX61" s="298"/>
      <c r="BY61" s="298"/>
      <c r="BZ61" s="298"/>
      <c r="CA61" s="298"/>
      <c r="CB61" s="298"/>
      <c r="CC61" s="298"/>
      <c r="CD61" s="298"/>
      <c r="CE61" s="298"/>
      <c r="CF61" s="298"/>
      <c r="CG61" s="298"/>
      <c r="CH61" s="298"/>
      <c r="CI61" s="298"/>
      <c r="CJ61" s="298"/>
      <c r="CK61" s="298"/>
      <c r="CL61" s="298"/>
      <c r="CM61" s="298"/>
      <c r="CN61" s="298"/>
      <c r="CO61" s="298"/>
      <c r="CP61" s="298"/>
      <c r="CQ61" s="298"/>
      <c r="CR61" s="298"/>
      <c r="CS61" s="298"/>
      <c r="CT61" s="298"/>
      <c r="CU61" s="298"/>
      <c r="CV61" s="298"/>
      <c r="CW61" s="298"/>
      <c r="CX61" s="298"/>
      <c r="CY61" s="298"/>
      <c r="CZ61" s="298"/>
      <c r="DA61" s="298"/>
      <c r="DB61" s="298"/>
      <c r="DC61" s="298"/>
      <c r="DD61" s="298"/>
      <c r="DE61" s="298"/>
      <c r="DF61" s="298"/>
      <c r="DG61" s="298"/>
      <c r="DH61" s="298"/>
      <c r="DI61" s="298"/>
      <c r="DJ61" s="298"/>
      <c r="DK61" s="298"/>
      <c r="DL61" s="298"/>
      <c r="DM61" s="298"/>
      <c r="DN61" s="298"/>
      <c r="DO61" s="298"/>
      <c r="DP61" s="298"/>
      <c r="DQ61" s="298"/>
      <c r="DR61" s="298"/>
      <c r="DS61" s="298"/>
      <c r="DT61" s="298"/>
      <c r="DU61" s="298"/>
      <c r="DV61" s="298"/>
      <c r="DW61" s="298"/>
      <c r="DX61" s="298"/>
      <c r="DY61" s="298"/>
      <c r="DZ61" s="298"/>
      <c r="EA61" s="298"/>
      <c r="EB61" s="298"/>
      <c r="EC61" s="298"/>
      <c r="ED61" s="298"/>
      <c r="EE61" s="298"/>
      <c r="EF61" s="298"/>
      <c r="EG61" s="298"/>
      <c r="EH61" s="298"/>
      <c r="EI61" s="298"/>
      <c r="EJ61" s="298"/>
      <c r="EK61" s="298"/>
      <c r="EL61" s="298"/>
      <c r="EM61" s="298"/>
      <c r="EN61" s="298"/>
      <c r="EO61" s="298"/>
      <c r="EP61" s="298"/>
      <c r="EQ61" s="298"/>
      <c r="ER61" s="298"/>
      <c r="ES61" s="298"/>
      <c r="ET61" s="298"/>
      <c r="EU61" s="298"/>
      <c r="EV61" s="298"/>
      <c r="EW61" s="298"/>
      <c r="EX61" s="298"/>
      <c r="EY61" s="298"/>
      <c r="EZ61" s="298"/>
      <c r="FA61" s="298"/>
      <c r="FB61" s="298"/>
      <c r="FC61" s="298"/>
      <c r="FD61" s="298"/>
      <c r="FE61" s="298"/>
      <c r="FF61" s="298"/>
      <c r="FG61" s="298"/>
      <c r="FH61" s="298"/>
      <c r="FI61" s="298"/>
      <c r="FJ61" s="298"/>
      <c r="FK61" s="298"/>
      <c r="FL61" s="298"/>
      <c r="FM61" s="298"/>
      <c r="FN61" s="298"/>
      <c r="FO61" s="298"/>
      <c r="FP61" s="298"/>
      <c r="FQ61" s="298"/>
      <c r="FR61" s="298"/>
      <c r="FS61" s="298"/>
      <c r="FT61" s="298"/>
      <c r="FU61" s="298"/>
      <c r="FV61" s="298"/>
      <c r="FW61" s="298"/>
      <c r="FX61" s="298"/>
      <c r="FY61" s="298"/>
      <c r="FZ61" s="298"/>
      <c r="GA61" s="298"/>
      <c r="GB61" s="298"/>
      <c r="GC61" s="298"/>
      <c r="GD61" s="298"/>
      <c r="GE61" s="298"/>
      <c r="GF61" s="298"/>
      <c r="GG61" s="298"/>
      <c r="GH61" s="298"/>
      <c r="GI61" s="298"/>
      <c r="GJ61" s="298"/>
      <c r="GK61" s="298"/>
      <c r="GL61" s="298"/>
      <c r="GM61" s="298"/>
      <c r="GN61" s="298"/>
      <c r="GO61" s="298"/>
      <c r="GP61" s="298"/>
      <c r="GQ61" s="298"/>
      <c r="GR61" s="298"/>
      <c r="GS61" s="298"/>
      <c r="GT61" s="298"/>
      <c r="GU61" s="298"/>
      <c r="GV61" s="298"/>
      <c r="GW61" s="298"/>
      <c r="GX61" s="298"/>
      <c r="GY61" s="298"/>
      <c r="GZ61" s="298"/>
      <c r="HA61" s="298"/>
      <c r="HB61" s="298"/>
      <c r="HC61" s="298"/>
      <c r="HD61" s="298"/>
      <c r="HE61" s="298"/>
      <c r="HF61" s="298"/>
      <c r="HG61" s="298"/>
      <c r="HH61" s="298"/>
      <c r="HI61" s="298"/>
      <c r="HJ61" s="298"/>
      <c r="HK61" s="298"/>
      <c r="HL61" s="298"/>
      <c r="HM61" s="298"/>
      <c r="HN61" s="298"/>
      <c r="HO61" s="298"/>
      <c r="HP61" s="298"/>
      <c r="HQ61" s="298"/>
      <c r="HR61" s="298"/>
      <c r="HS61" s="298"/>
      <c r="HT61" s="298"/>
      <c r="HU61" s="298"/>
      <c r="HV61" s="298"/>
      <c r="HW61" s="298"/>
      <c r="HX61" s="298"/>
      <c r="HY61" s="298"/>
      <c r="HZ61" s="298"/>
      <c r="IA61" s="298"/>
      <c r="IB61" s="298"/>
      <c r="IC61" s="298"/>
      <c r="ID61" s="298"/>
      <c r="IE61" s="298"/>
      <c r="IF61" s="298"/>
      <c r="IG61" s="298"/>
      <c r="IH61" s="298"/>
      <c r="II61" s="298"/>
      <c r="IJ61" s="298"/>
      <c r="IK61" s="298"/>
      <c r="IL61" s="298"/>
      <c r="IM61" s="298"/>
      <c r="IN61" s="298"/>
      <c r="IO61" s="298"/>
      <c r="IP61" s="298"/>
      <c r="IQ61" s="298"/>
      <c r="IR61" s="298"/>
      <c r="IS61" s="298"/>
      <c r="IT61" s="298"/>
      <c r="IU61" s="298"/>
      <c r="IV61" s="298"/>
    </row>
    <row r="62" spans="1:256" ht="21.75" customHeight="1">
      <c r="A62" s="679" t="s">
        <v>700</v>
      </c>
      <c r="B62" s="680">
        <v>11600</v>
      </c>
      <c r="C62" s="317"/>
      <c r="D62" s="297"/>
      <c r="E62" s="297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298"/>
      <c r="CO62" s="298"/>
      <c r="CP62" s="298"/>
      <c r="CQ62" s="298"/>
      <c r="CR62" s="298"/>
      <c r="CS62" s="298"/>
      <c r="CT62" s="298"/>
      <c r="CU62" s="298"/>
      <c r="CV62" s="298"/>
      <c r="CW62" s="298"/>
      <c r="CX62" s="298"/>
      <c r="CY62" s="298"/>
      <c r="CZ62" s="298"/>
      <c r="DA62" s="298"/>
      <c r="DB62" s="298"/>
      <c r="DC62" s="298"/>
      <c r="DD62" s="298"/>
      <c r="DE62" s="298"/>
      <c r="DF62" s="298"/>
      <c r="DG62" s="298"/>
      <c r="DH62" s="298"/>
      <c r="DI62" s="298"/>
      <c r="DJ62" s="298"/>
      <c r="DK62" s="298"/>
      <c r="DL62" s="298"/>
      <c r="DM62" s="298"/>
      <c r="DN62" s="298"/>
      <c r="DO62" s="298"/>
      <c r="DP62" s="298"/>
      <c r="DQ62" s="298"/>
      <c r="DR62" s="298"/>
      <c r="DS62" s="298"/>
      <c r="DT62" s="298"/>
      <c r="DU62" s="298"/>
      <c r="DV62" s="298"/>
      <c r="DW62" s="298"/>
      <c r="DX62" s="298"/>
      <c r="DY62" s="298"/>
      <c r="DZ62" s="298"/>
      <c r="EA62" s="298"/>
      <c r="EB62" s="298"/>
      <c r="EC62" s="298"/>
      <c r="ED62" s="298"/>
      <c r="EE62" s="298"/>
      <c r="EF62" s="298"/>
      <c r="EG62" s="298"/>
      <c r="EH62" s="298"/>
      <c r="EI62" s="298"/>
      <c r="EJ62" s="298"/>
      <c r="EK62" s="298"/>
      <c r="EL62" s="298"/>
      <c r="EM62" s="298"/>
      <c r="EN62" s="298"/>
      <c r="EO62" s="298"/>
      <c r="EP62" s="298"/>
      <c r="EQ62" s="298"/>
      <c r="ER62" s="298"/>
      <c r="ES62" s="298"/>
      <c r="ET62" s="298"/>
      <c r="EU62" s="298"/>
      <c r="EV62" s="298"/>
      <c r="EW62" s="298"/>
      <c r="EX62" s="298"/>
      <c r="EY62" s="298"/>
      <c r="EZ62" s="298"/>
      <c r="FA62" s="298"/>
      <c r="FB62" s="298"/>
      <c r="FC62" s="298"/>
      <c r="FD62" s="298"/>
      <c r="FE62" s="298"/>
      <c r="FF62" s="298"/>
      <c r="FG62" s="298"/>
      <c r="FH62" s="298"/>
      <c r="FI62" s="298"/>
      <c r="FJ62" s="298"/>
      <c r="FK62" s="298"/>
      <c r="FL62" s="298"/>
      <c r="FM62" s="298"/>
      <c r="FN62" s="298"/>
      <c r="FO62" s="298"/>
      <c r="FP62" s="298"/>
      <c r="FQ62" s="298"/>
      <c r="FR62" s="298"/>
      <c r="FS62" s="298"/>
      <c r="FT62" s="298"/>
      <c r="FU62" s="298"/>
      <c r="FV62" s="298"/>
      <c r="FW62" s="298"/>
      <c r="FX62" s="298"/>
      <c r="FY62" s="298"/>
      <c r="FZ62" s="298"/>
      <c r="GA62" s="298"/>
      <c r="GB62" s="298"/>
      <c r="GC62" s="298"/>
      <c r="GD62" s="298"/>
      <c r="GE62" s="298"/>
      <c r="GF62" s="298"/>
      <c r="GG62" s="298"/>
      <c r="GH62" s="298"/>
      <c r="GI62" s="298"/>
      <c r="GJ62" s="298"/>
      <c r="GK62" s="298"/>
      <c r="GL62" s="298"/>
      <c r="GM62" s="298"/>
      <c r="GN62" s="298"/>
      <c r="GO62" s="298"/>
      <c r="GP62" s="298"/>
      <c r="GQ62" s="298"/>
      <c r="GR62" s="298"/>
      <c r="GS62" s="298"/>
      <c r="GT62" s="298"/>
      <c r="GU62" s="298"/>
      <c r="GV62" s="298"/>
      <c r="GW62" s="298"/>
      <c r="GX62" s="298"/>
      <c r="GY62" s="298"/>
      <c r="GZ62" s="298"/>
      <c r="HA62" s="298"/>
      <c r="HB62" s="298"/>
      <c r="HC62" s="298"/>
      <c r="HD62" s="298"/>
      <c r="HE62" s="298"/>
      <c r="HF62" s="298"/>
      <c r="HG62" s="298"/>
      <c r="HH62" s="298"/>
      <c r="HI62" s="298"/>
      <c r="HJ62" s="298"/>
      <c r="HK62" s="298"/>
      <c r="HL62" s="298"/>
      <c r="HM62" s="298"/>
      <c r="HN62" s="298"/>
      <c r="HO62" s="298"/>
      <c r="HP62" s="298"/>
      <c r="HQ62" s="298"/>
      <c r="HR62" s="298"/>
      <c r="HS62" s="298"/>
      <c r="HT62" s="298"/>
      <c r="HU62" s="298"/>
      <c r="HV62" s="298"/>
      <c r="HW62" s="298"/>
      <c r="HX62" s="298"/>
      <c r="HY62" s="298"/>
      <c r="HZ62" s="298"/>
      <c r="IA62" s="298"/>
      <c r="IB62" s="298"/>
      <c r="IC62" s="298"/>
      <c r="ID62" s="298"/>
      <c r="IE62" s="298"/>
      <c r="IF62" s="298"/>
      <c r="IG62" s="298"/>
      <c r="IH62" s="298"/>
      <c r="II62" s="298"/>
      <c r="IJ62" s="298"/>
      <c r="IK62" s="298"/>
      <c r="IL62" s="298"/>
      <c r="IM62" s="298"/>
      <c r="IN62" s="298"/>
      <c r="IO62" s="298"/>
      <c r="IP62" s="298"/>
      <c r="IQ62" s="298"/>
      <c r="IR62" s="298"/>
      <c r="IS62" s="298"/>
      <c r="IT62" s="298"/>
      <c r="IU62" s="298"/>
      <c r="IV62" s="298"/>
    </row>
    <row r="63" spans="1:256" ht="21.75" customHeight="1">
      <c r="A63" s="679" t="s">
        <v>700</v>
      </c>
      <c r="B63" s="680">
        <v>29000</v>
      </c>
      <c r="C63" s="317"/>
      <c r="D63" s="297"/>
      <c r="E63" s="297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298"/>
      <c r="AW63" s="298"/>
      <c r="AX63" s="298"/>
      <c r="AY63" s="298"/>
      <c r="AZ63" s="298"/>
      <c r="BA63" s="298"/>
      <c r="BB63" s="298"/>
      <c r="BC63" s="298"/>
      <c r="BD63" s="298"/>
      <c r="BE63" s="298"/>
      <c r="BF63" s="298"/>
      <c r="BG63" s="298"/>
      <c r="BH63" s="298"/>
      <c r="BI63" s="298"/>
      <c r="BJ63" s="298"/>
      <c r="BK63" s="298"/>
      <c r="BL63" s="298"/>
      <c r="BM63" s="298"/>
      <c r="BN63" s="298"/>
      <c r="BO63" s="298"/>
      <c r="BP63" s="298"/>
      <c r="BQ63" s="298"/>
      <c r="BR63" s="298"/>
      <c r="BS63" s="298"/>
      <c r="BT63" s="298"/>
      <c r="BU63" s="298"/>
      <c r="BV63" s="298"/>
      <c r="BW63" s="298"/>
      <c r="BX63" s="298"/>
      <c r="BY63" s="298"/>
      <c r="BZ63" s="298"/>
      <c r="CA63" s="298"/>
      <c r="CB63" s="298"/>
      <c r="CC63" s="298"/>
      <c r="CD63" s="298"/>
      <c r="CE63" s="298"/>
      <c r="CF63" s="298"/>
      <c r="CG63" s="298"/>
      <c r="CH63" s="298"/>
      <c r="CI63" s="298"/>
      <c r="CJ63" s="298"/>
      <c r="CK63" s="298"/>
      <c r="CL63" s="298"/>
      <c r="CM63" s="298"/>
      <c r="CN63" s="298"/>
      <c r="CO63" s="298"/>
      <c r="CP63" s="298"/>
      <c r="CQ63" s="298"/>
      <c r="CR63" s="298"/>
      <c r="CS63" s="298"/>
      <c r="CT63" s="298"/>
      <c r="CU63" s="298"/>
      <c r="CV63" s="298"/>
      <c r="CW63" s="298"/>
      <c r="CX63" s="298"/>
      <c r="CY63" s="298"/>
      <c r="CZ63" s="298"/>
      <c r="DA63" s="298"/>
      <c r="DB63" s="298"/>
      <c r="DC63" s="298"/>
      <c r="DD63" s="298"/>
      <c r="DE63" s="298"/>
      <c r="DF63" s="298"/>
      <c r="DG63" s="298"/>
      <c r="DH63" s="298"/>
      <c r="DI63" s="298"/>
      <c r="DJ63" s="298"/>
      <c r="DK63" s="298"/>
      <c r="DL63" s="298"/>
      <c r="DM63" s="298"/>
      <c r="DN63" s="298"/>
      <c r="DO63" s="298"/>
      <c r="DP63" s="298"/>
      <c r="DQ63" s="298"/>
      <c r="DR63" s="298"/>
      <c r="DS63" s="298"/>
      <c r="DT63" s="298"/>
      <c r="DU63" s="298"/>
      <c r="DV63" s="298"/>
      <c r="DW63" s="298"/>
      <c r="DX63" s="298"/>
      <c r="DY63" s="298"/>
      <c r="DZ63" s="298"/>
      <c r="EA63" s="298"/>
      <c r="EB63" s="298"/>
      <c r="EC63" s="298"/>
      <c r="ED63" s="298"/>
      <c r="EE63" s="298"/>
      <c r="EF63" s="298"/>
      <c r="EG63" s="298"/>
      <c r="EH63" s="298"/>
      <c r="EI63" s="298"/>
      <c r="EJ63" s="298"/>
      <c r="EK63" s="298"/>
      <c r="EL63" s="298"/>
      <c r="EM63" s="298"/>
      <c r="EN63" s="298"/>
      <c r="EO63" s="298"/>
      <c r="EP63" s="298"/>
      <c r="EQ63" s="298"/>
      <c r="ER63" s="298"/>
      <c r="ES63" s="298"/>
      <c r="ET63" s="298"/>
      <c r="EU63" s="298"/>
      <c r="EV63" s="298"/>
      <c r="EW63" s="298"/>
      <c r="EX63" s="298"/>
      <c r="EY63" s="298"/>
      <c r="EZ63" s="298"/>
      <c r="FA63" s="298"/>
      <c r="FB63" s="298"/>
      <c r="FC63" s="298"/>
      <c r="FD63" s="298"/>
      <c r="FE63" s="298"/>
      <c r="FF63" s="298"/>
      <c r="FG63" s="298"/>
      <c r="FH63" s="298"/>
      <c r="FI63" s="298"/>
      <c r="FJ63" s="298"/>
      <c r="FK63" s="298"/>
      <c r="FL63" s="298"/>
      <c r="FM63" s="298"/>
      <c r="FN63" s="298"/>
      <c r="FO63" s="298"/>
      <c r="FP63" s="298"/>
      <c r="FQ63" s="298"/>
      <c r="FR63" s="298"/>
      <c r="FS63" s="298"/>
      <c r="FT63" s="298"/>
      <c r="FU63" s="298"/>
      <c r="FV63" s="298"/>
      <c r="FW63" s="298"/>
      <c r="FX63" s="298"/>
      <c r="FY63" s="298"/>
      <c r="FZ63" s="298"/>
      <c r="GA63" s="298"/>
      <c r="GB63" s="298"/>
      <c r="GC63" s="298"/>
      <c r="GD63" s="298"/>
      <c r="GE63" s="298"/>
      <c r="GF63" s="298"/>
      <c r="GG63" s="298"/>
      <c r="GH63" s="298"/>
      <c r="GI63" s="298"/>
      <c r="GJ63" s="298"/>
      <c r="GK63" s="298"/>
      <c r="GL63" s="298"/>
      <c r="GM63" s="298"/>
      <c r="GN63" s="298"/>
      <c r="GO63" s="298"/>
      <c r="GP63" s="298"/>
      <c r="GQ63" s="298"/>
      <c r="GR63" s="298"/>
      <c r="GS63" s="298"/>
      <c r="GT63" s="298"/>
      <c r="GU63" s="298"/>
      <c r="GV63" s="298"/>
      <c r="GW63" s="298"/>
      <c r="GX63" s="298"/>
      <c r="GY63" s="298"/>
      <c r="GZ63" s="298"/>
      <c r="HA63" s="298"/>
      <c r="HB63" s="298"/>
      <c r="HC63" s="298"/>
      <c r="HD63" s="298"/>
      <c r="HE63" s="298"/>
      <c r="HF63" s="298"/>
      <c r="HG63" s="298"/>
      <c r="HH63" s="298"/>
      <c r="HI63" s="298"/>
      <c r="HJ63" s="298"/>
      <c r="HK63" s="298"/>
      <c r="HL63" s="298"/>
      <c r="HM63" s="298"/>
      <c r="HN63" s="298"/>
      <c r="HO63" s="298"/>
      <c r="HP63" s="298"/>
      <c r="HQ63" s="298"/>
      <c r="HR63" s="298"/>
      <c r="HS63" s="298"/>
      <c r="HT63" s="298"/>
      <c r="HU63" s="298"/>
      <c r="HV63" s="298"/>
      <c r="HW63" s="298"/>
      <c r="HX63" s="298"/>
      <c r="HY63" s="298"/>
      <c r="HZ63" s="298"/>
      <c r="IA63" s="298"/>
      <c r="IB63" s="298"/>
      <c r="IC63" s="298"/>
      <c r="ID63" s="298"/>
      <c r="IE63" s="298"/>
      <c r="IF63" s="298"/>
      <c r="IG63" s="298"/>
      <c r="IH63" s="298"/>
      <c r="II63" s="298"/>
      <c r="IJ63" s="298"/>
      <c r="IK63" s="298"/>
      <c r="IL63" s="298"/>
      <c r="IM63" s="298"/>
      <c r="IN63" s="298"/>
      <c r="IO63" s="298"/>
      <c r="IP63" s="298"/>
      <c r="IQ63" s="298"/>
      <c r="IR63" s="298"/>
      <c r="IS63" s="298"/>
      <c r="IT63" s="298"/>
      <c r="IU63" s="298"/>
      <c r="IV63" s="298"/>
    </row>
    <row r="64" spans="1:256" ht="21.75" customHeight="1">
      <c r="A64" s="679" t="s">
        <v>701</v>
      </c>
      <c r="B64" s="680">
        <v>23000</v>
      </c>
      <c r="C64" s="317"/>
      <c r="D64" s="297"/>
      <c r="E64" s="297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  <c r="AP64" s="298"/>
      <c r="AQ64" s="298"/>
      <c r="AR64" s="298"/>
      <c r="AS64" s="298"/>
      <c r="AT64" s="298"/>
      <c r="AU64" s="298"/>
      <c r="AV64" s="298"/>
      <c r="AW64" s="298"/>
      <c r="AX64" s="298"/>
      <c r="AY64" s="298"/>
      <c r="AZ64" s="298"/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8"/>
      <c r="BM64" s="298"/>
      <c r="BN64" s="298"/>
      <c r="BO64" s="298"/>
      <c r="BP64" s="298"/>
      <c r="BQ64" s="298"/>
      <c r="BR64" s="298"/>
      <c r="BS64" s="298"/>
      <c r="BT64" s="298"/>
      <c r="BU64" s="298"/>
      <c r="BV64" s="298"/>
      <c r="BW64" s="298"/>
      <c r="BX64" s="298"/>
      <c r="BY64" s="298"/>
      <c r="BZ64" s="298"/>
      <c r="CA64" s="298"/>
      <c r="CB64" s="298"/>
      <c r="CC64" s="298"/>
      <c r="CD64" s="298"/>
      <c r="CE64" s="298"/>
      <c r="CF64" s="298"/>
      <c r="CG64" s="298"/>
      <c r="CH64" s="298"/>
      <c r="CI64" s="298"/>
      <c r="CJ64" s="298"/>
      <c r="CK64" s="298"/>
      <c r="CL64" s="298"/>
      <c r="CM64" s="298"/>
      <c r="CN64" s="298"/>
      <c r="CO64" s="298"/>
      <c r="CP64" s="298"/>
      <c r="CQ64" s="298"/>
      <c r="CR64" s="298"/>
      <c r="CS64" s="298"/>
      <c r="CT64" s="298"/>
      <c r="CU64" s="298"/>
      <c r="CV64" s="298"/>
      <c r="CW64" s="298"/>
      <c r="CX64" s="298"/>
      <c r="CY64" s="298"/>
      <c r="CZ64" s="298"/>
      <c r="DA64" s="298"/>
      <c r="DB64" s="298"/>
      <c r="DC64" s="298"/>
      <c r="DD64" s="298"/>
      <c r="DE64" s="298"/>
      <c r="DF64" s="298"/>
      <c r="DG64" s="298"/>
      <c r="DH64" s="298"/>
      <c r="DI64" s="298"/>
      <c r="DJ64" s="298"/>
      <c r="DK64" s="298"/>
      <c r="DL64" s="298"/>
      <c r="DM64" s="298"/>
      <c r="DN64" s="298"/>
      <c r="DO64" s="298"/>
      <c r="DP64" s="298"/>
      <c r="DQ64" s="298"/>
      <c r="DR64" s="298"/>
      <c r="DS64" s="298"/>
      <c r="DT64" s="298"/>
      <c r="DU64" s="298"/>
      <c r="DV64" s="298"/>
      <c r="DW64" s="298"/>
      <c r="DX64" s="298"/>
      <c r="DY64" s="298"/>
      <c r="DZ64" s="298"/>
      <c r="EA64" s="298"/>
      <c r="EB64" s="298"/>
      <c r="EC64" s="298"/>
      <c r="ED64" s="298"/>
      <c r="EE64" s="298"/>
      <c r="EF64" s="298"/>
      <c r="EG64" s="298"/>
      <c r="EH64" s="298"/>
      <c r="EI64" s="298"/>
      <c r="EJ64" s="298"/>
      <c r="EK64" s="298"/>
      <c r="EL64" s="298"/>
      <c r="EM64" s="298"/>
      <c r="EN64" s="298"/>
      <c r="EO64" s="298"/>
      <c r="EP64" s="298"/>
      <c r="EQ64" s="298"/>
      <c r="ER64" s="298"/>
      <c r="ES64" s="298"/>
      <c r="ET64" s="298"/>
      <c r="EU64" s="298"/>
      <c r="EV64" s="298"/>
      <c r="EW64" s="298"/>
      <c r="EX64" s="298"/>
      <c r="EY64" s="298"/>
      <c r="EZ64" s="298"/>
      <c r="FA64" s="298"/>
      <c r="FB64" s="298"/>
      <c r="FC64" s="298"/>
      <c r="FD64" s="298"/>
      <c r="FE64" s="298"/>
      <c r="FF64" s="298"/>
      <c r="FG64" s="298"/>
      <c r="FH64" s="298"/>
      <c r="FI64" s="298"/>
      <c r="FJ64" s="298"/>
      <c r="FK64" s="298"/>
      <c r="FL64" s="298"/>
      <c r="FM64" s="298"/>
      <c r="FN64" s="298"/>
      <c r="FO64" s="298"/>
      <c r="FP64" s="298"/>
      <c r="FQ64" s="298"/>
      <c r="FR64" s="298"/>
      <c r="FS64" s="298"/>
      <c r="FT64" s="298"/>
      <c r="FU64" s="298"/>
      <c r="FV64" s="298"/>
      <c r="FW64" s="298"/>
      <c r="FX64" s="298"/>
      <c r="FY64" s="298"/>
      <c r="FZ64" s="298"/>
      <c r="GA64" s="298"/>
      <c r="GB64" s="298"/>
      <c r="GC64" s="298"/>
      <c r="GD64" s="298"/>
      <c r="GE64" s="298"/>
      <c r="GF64" s="298"/>
      <c r="GG64" s="298"/>
      <c r="GH64" s="298"/>
      <c r="GI64" s="298"/>
      <c r="GJ64" s="298"/>
      <c r="GK64" s="298"/>
      <c r="GL64" s="298"/>
      <c r="GM64" s="298"/>
      <c r="GN64" s="298"/>
      <c r="GO64" s="298"/>
      <c r="GP64" s="298"/>
      <c r="GQ64" s="298"/>
      <c r="GR64" s="298"/>
      <c r="GS64" s="298"/>
      <c r="GT64" s="298"/>
      <c r="GU64" s="298"/>
      <c r="GV64" s="298"/>
      <c r="GW64" s="298"/>
      <c r="GX64" s="298"/>
      <c r="GY64" s="298"/>
      <c r="GZ64" s="298"/>
      <c r="HA64" s="298"/>
      <c r="HB64" s="298"/>
      <c r="HC64" s="298"/>
      <c r="HD64" s="298"/>
      <c r="HE64" s="298"/>
      <c r="HF64" s="298"/>
      <c r="HG64" s="298"/>
      <c r="HH64" s="298"/>
      <c r="HI64" s="298"/>
      <c r="HJ64" s="298"/>
      <c r="HK64" s="298"/>
      <c r="HL64" s="298"/>
      <c r="HM64" s="298"/>
      <c r="HN64" s="298"/>
      <c r="HO64" s="298"/>
      <c r="HP64" s="298"/>
      <c r="HQ64" s="298"/>
      <c r="HR64" s="298"/>
      <c r="HS64" s="298"/>
      <c r="HT64" s="298"/>
      <c r="HU64" s="298"/>
      <c r="HV64" s="298"/>
      <c r="HW64" s="298"/>
      <c r="HX64" s="298"/>
      <c r="HY64" s="298"/>
      <c r="HZ64" s="298"/>
      <c r="IA64" s="298"/>
      <c r="IB64" s="298"/>
      <c r="IC64" s="298"/>
      <c r="ID64" s="298"/>
      <c r="IE64" s="298"/>
      <c r="IF64" s="298"/>
      <c r="IG64" s="298"/>
      <c r="IH64" s="298"/>
      <c r="II64" s="298"/>
      <c r="IJ64" s="298"/>
      <c r="IK64" s="298"/>
      <c r="IL64" s="298"/>
      <c r="IM64" s="298"/>
      <c r="IN64" s="298"/>
      <c r="IO64" s="298"/>
      <c r="IP64" s="298"/>
      <c r="IQ64" s="298"/>
      <c r="IR64" s="298"/>
      <c r="IS64" s="298"/>
      <c r="IT64" s="298"/>
      <c r="IU64" s="298"/>
      <c r="IV64" s="298"/>
    </row>
    <row r="65" spans="1:256" ht="21.75" customHeight="1">
      <c r="A65" s="679" t="s">
        <v>703</v>
      </c>
      <c r="B65" s="680">
        <v>1550</v>
      </c>
      <c r="C65" s="317"/>
      <c r="D65" s="297"/>
      <c r="E65" s="297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8"/>
      <c r="AY65" s="298"/>
      <c r="AZ65" s="298"/>
      <c r="BA65" s="298"/>
      <c r="BB65" s="298"/>
      <c r="BC65" s="298"/>
      <c r="BD65" s="298"/>
      <c r="BE65" s="298"/>
      <c r="BF65" s="298"/>
      <c r="BG65" s="298"/>
      <c r="BH65" s="298"/>
      <c r="BI65" s="298"/>
      <c r="BJ65" s="298"/>
      <c r="BK65" s="298"/>
      <c r="BL65" s="298"/>
      <c r="BM65" s="298"/>
      <c r="BN65" s="298"/>
      <c r="BO65" s="298"/>
      <c r="BP65" s="298"/>
      <c r="BQ65" s="298"/>
      <c r="BR65" s="298"/>
      <c r="BS65" s="298"/>
      <c r="BT65" s="298"/>
      <c r="BU65" s="298"/>
      <c r="BV65" s="298"/>
      <c r="BW65" s="298"/>
      <c r="BX65" s="298"/>
      <c r="BY65" s="298"/>
      <c r="BZ65" s="298"/>
      <c r="CA65" s="298"/>
      <c r="CB65" s="298"/>
      <c r="CC65" s="298"/>
      <c r="CD65" s="298"/>
      <c r="CE65" s="298"/>
      <c r="CF65" s="298"/>
      <c r="CG65" s="298"/>
      <c r="CH65" s="298"/>
      <c r="CI65" s="298"/>
      <c r="CJ65" s="298"/>
      <c r="CK65" s="298"/>
      <c r="CL65" s="298"/>
      <c r="CM65" s="298"/>
      <c r="CN65" s="298"/>
      <c r="CO65" s="298"/>
      <c r="CP65" s="298"/>
      <c r="CQ65" s="298"/>
      <c r="CR65" s="298"/>
      <c r="CS65" s="298"/>
      <c r="CT65" s="298"/>
      <c r="CU65" s="298"/>
      <c r="CV65" s="298"/>
      <c r="CW65" s="298"/>
      <c r="CX65" s="298"/>
      <c r="CY65" s="298"/>
      <c r="CZ65" s="298"/>
      <c r="DA65" s="298"/>
      <c r="DB65" s="298"/>
      <c r="DC65" s="298"/>
      <c r="DD65" s="298"/>
      <c r="DE65" s="298"/>
      <c r="DF65" s="298"/>
      <c r="DG65" s="298"/>
      <c r="DH65" s="298"/>
      <c r="DI65" s="298"/>
      <c r="DJ65" s="298"/>
      <c r="DK65" s="298"/>
      <c r="DL65" s="298"/>
      <c r="DM65" s="298"/>
      <c r="DN65" s="298"/>
      <c r="DO65" s="298"/>
      <c r="DP65" s="298"/>
      <c r="DQ65" s="298"/>
      <c r="DR65" s="298"/>
      <c r="DS65" s="298"/>
      <c r="DT65" s="298"/>
      <c r="DU65" s="298"/>
      <c r="DV65" s="298"/>
      <c r="DW65" s="298"/>
      <c r="DX65" s="298"/>
      <c r="DY65" s="298"/>
      <c r="DZ65" s="298"/>
      <c r="EA65" s="298"/>
      <c r="EB65" s="298"/>
      <c r="EC65" s="298"/>
      <c r="ED65" s="298"/>
      <c r="EE65" s="298"/>
      <c r="EF65" s="298"/>
      <c r="EG65" s="298"/>
      <c r="EH65" s="298"/>
      <c r="EI65" s="298"/>
      <c r="EJ65" s="298"/>
      <c r="EK65" s="298"/>
      <c r="EL65" s="298"/>
      <c r="EM65" s="298"/>
      <c r="EN65" s="298"/>
      <c r="EO65" s="298"/>
      <c r="EP65" s="298"/>
      <c r="EQ65" s="298"/>
      <c r="ER65" s="298"/>
      <c r="ES65" s="298"/>
      <c r="ET65" s="298"/>
      <c r="EU65" s="298"/>
      <c r="EV65" s="298"/>
      <c r="EW65" s="298"/>
      <c r="EX65" s="298"/>
      <c r="EY65" s="298"/>
      <c r="EZ65" s="298"/>
      <c r="FA65" s="298"/>
      <c r="FB65" s="298"/>
      <c r="FC65" s="298"/>
      <c r="FD65" s="298"/>
      <c r="FE65" s="298"/>
      <c r="FF65" s="298"/>
      <c r="FG65" s="298"/>
      <c r="FH65" s="298"/>
      <c r="FI65" s="298"/>
      <c r="FJ65" s="298"/>
      <c r="FK65" s="298"/>
      <c r="FL65" s="298"/>
      <c r="FM65" s="298"/>
      <c r="FN65" s="298"/>
      <c r="FO65" s="298"/>
      <c r="FP65" s="298"/>
      <c r="FQ65" s="298"/>
      <c r="FR65" s="298"/>
      <c r="FS65" s="298"/>
      <c r="FT65" s="298"/>
      <c r="FU65" s="298"/>
      <c r="FV65" s="298"/>
      <c r="FW65" s="298"/>
      <c r="FX65" s="298"/>
      <c r="FY65" s="298"/>
      <c r="FZ65" s="298"/>
      <c r="GA65" s="298"/>
      <c r="GB65" s="298"/>
      <c r="GC65" s="298"/>
      <c r="GD65" s="298"/>
      <c r="GE65" s="298"/>
      <c r="GF65" s="298"/>
      <c r="GG65" s="298"/>
      <c r="GH65" s="298"/>
      <c r="GI65" s="298"/>
      <c r="GJ65" s="298"/>
      <c r="GK65" s="298"/>
      <c r="GL65" s="298"/>
      <c r="GM65" s="298"/>
      <c r="GN65" s="298"/>
      <c r="GO65" s="298"/>
      <c r="GP65" s="298"/>
      <c r="GQ65" s="298"/>
      <c r="GR65" s="298"/>
      <c r="GS65" s="298"/>
      <c r="GT65" s="298"/>
      <c r="GU65" s="298"/>
      <c r="GV65" s="298"/>
      <c r="GW65" s="298"/>
      <c r="GX65" s="298"/>
      <c r="GY65" s="298"/>
      <c r="GZ65" s="298"/>
      <c r="HA65" s="298"/>
      <c r="HB65" s="298"/>
      <c r="HC65" s="298"/>
      <c r="HD65" s="298"/>
      <c r="HE65" s="298"/>
      <c r="HF65" s="298"/>
      <c r="HG65" s="298"/>
      <c r="HH65" s="298"/>
      <c r="HI65" s="298"/>
      <c r="HJ65" s="298"/>
      <c r="HK65" s="298"/>
      <c r="HL65" s="298"/>
      <c r="HM65" s="298"/>
      <c r="HN65" s="298"/>
      <c r="HO65" s="298"/>
      <c r="HP65" s="298"/>
      <c r="HQ65" s="298"/>
      <c r="HR65" s="298"/>
      <c r="HS65" s="298"/>
      <c r="HT65" s="298"/>
      <c r="HU65" s="298"/>
      <c r="HV65" s="298"/>
      <c r="HW65" s="298"/>
      <c r="HX65" s="298"/>
      <c r="HY65" s="298"/>
      <c r="HZ65" s="298"/>
      <c r="IA65" s="298"/>
      <c r="IB65" s="298"/>
      <c r="IC65" s="298"/>
      <c r="ID65" s="298"/>
      <c r="IE65" s="298"/>
      <c r="IF65" s="298"/>
      <c r="IG65" s="298"/>
      <c r="IH65" s="298"/>
      <c r="II65" s="298"/>
      <c r="IJ65" s="298"/>
      <c r="IK65" s="298"/>
      <c r="IL65" s="298"/>
      <c r="IM65" s="298"/>
      <c r="IN65" s="298"/>
      <c r="IO65" s="298"/>
      <c r="IP65" s="298"/>
      <c r="IQ65" s="298"/>
      <c r="IR65" s="298"/>
      <c r="IS65" s="298"/>
      <c r="IT65" s="298"/>
      <c r="IU65" s="298"/>
      <c r="IV65" s="298"/>
    </row>
    <row r="66" spans="1:256" ht="21.75" customHeight="1">
      <c r="A66" s="679" t="s">
        <v>704</v>
      </c>
      <c r="B66" s="680">
        <v>695.83</v>
      </c>
      <c r="C66" s="317"/>
      <c r="D66" s="297"/>
      <c r="E66" s="297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298"/>
      <c r="BN66" s="298"/>
      <c r="BO66" s="298"/>
      <c r="BP66" s="298"/>
      <c r="BQ66" s="298"/>
      <c r="BR66" s="298"/>
      <c r="BS66" s="298"/>
      <c r="BT66" s="298"/>
      <c r="BU66" s="298"/>
      <c r="BV66" s="298"/>
      <c r="BW66" s="298"/>
      <c r="BX66" s="298"/>
      <c r="BY66" s="298"/>
      <c r="BZ66" s="298"/>
      <c r="CA66" s="298"/>
      <c r="CB66" s="298"/>
      <c r="CC66" s="298"/>
      <c r="CD66" s="298"/>
      <c r="CE66" s="298"/>
      <c r="CF66" s="298"/>
      <c r="CG66" s="298"/>
      <c r="CH66" s="298"/>
      <c r="CI66" s="298"/>
      <c r="CJ66" s="298"/>
      <c r="CK66" s="298"/>
      <c r="CL66" s="298"/>
      <c r="CM66" s="298"/>
      <c r="CN66" s="298"/>
      <c r="CO66" s="298"/>
      <c r="CP66" s="298"/>
      <c r="CQ66" s="298"/>
      <c r="CR66" s="298"/>
      <c r="CS66" s="298"/>
      <c r="CT66" s="298"/>
      <c r="CU66" s="298"/>
      <c r="CV66" s="298"/>
      <c r="CW66" s="298"/>
      <c r="CX66" s="298"/>
      <c r="CY66" s="298"/>
      <c r="CZ66" s="298"/>
      <c r="DA66" s="298"/>
      <c r="DB66" s="298"/>
      <c r="DC66" s="298"/>
      <c r="DD66" s="298"/>
      <c r="DE66" s="298"/>
      <c r="DF66" s="298"/>
      <c r="DG66" s="298"/>
      <c r="DH66" s="298"/>
      <c r="DI66" s="298"/>
      <c r="DJ66" s="298"/>
      <c r="DK66" s="298"/>
      <c r="DL66" s="298"/>
      <c r="DM66" s="298"/>
      <c r="DN66" s="298"/>
      <c r="DO66" s="298"/>
      <c r="DP66" s="298"/>
      <c r="DQ66" s="298"/>
      <c r="DR66" s="298"/>
      <c r="DS66" s="298"/>
      <c r="DT66" s="298"/>
      <c r="DU66" s="298"/>
      <c r="DV66" s="298"/>
      <c r="DW66" s="298"/>
      <c r="DX66" s="298"/>
      <c r="DY66" s="298"/>
      <c r="DZ66" s="298"/>
      <c r="EA66" s="298"/>
      <c r="EB66" s="298"/>
      <c r="EC66" s="298"/>
      <c r="ED66" s="298"/>
      <c r="EE66" s="298"/>
      <c r="EF66" s="298"/>
      <c r="EG66" s="298"/>
      <c r="EH66" s="298"/>
      <c r="EI66" s="298"/>
      <c r="EJ66" s="298"/>
      <c r="EK66" s="298"/>
      <c r="EL66" s="298"/>
      <c r="EM66" s="298"/>
      <c r="EN66" s="298"/>
      <c r="EO66" s="298"/>
      <c r="EP66" s="298"/>
      <c r="EQ66" s="298"/>
      <c r="ER66" s="298"/>
      <c r="ES66" s="298"/>
      <c r="ET66" s="298"/>
      <c r="EU66" s="298"/>
      <c r="EV66" s="298"/>
      <c r="EW66" s="298"/>
      <c r="EX66" s="298"/>
      <c r="EY66" s="298"/>
      <c r="EZ66" s="298"/>
      <c r="FA66" s="298"/>
      <c r="FB66" s="298"/>
      <c r="FC66" s="298"/>
      <c r="FD66" s="298"/>
      <c r="FE66" s="298"/>
      <c r="FF66" s="298"/>
      <c r="FG66" s="298"/>
      <c r="FH66" s="298"/>
      <c r="FI66" s="298"/>
      <c r="FJ66" s="298"/>
      <c r="FK66" s="298"/>
      <c r="FL66" s="298"/>
      <c r="FM66" s="298"/>
      <c r="FN66" s="298"/>
      <c r="FO66" s="298"/>
      <c r="FP66" s="298"/>
      <c r="FQ66" s="298"/>
      <c r="FR66" s="298"/>
      <c r="FS66" s="298"/>
      <c r="FT66" s="298"/>
      <c r="FU66" s="298"/>
      <c r="FV66" s="298"/>
      <c r="FW66" s="298"/>
      <c r="FX66" s="298"/>
      <c r="FY66" s="298"/>
      <c r="FZ66" s="298"/>
      <c r="GA66" s="298"/>
      <c r="GB66" s="298"/>
      <c r="GC66" s="298"/>
      <c r="GD66" s="298"/>
      <c r="GE66" s="298"/>
      <c r="GF66" s="298"/>
      <c r="GG66" s="298"/>
      <c r="GH66" s="298"/>
      <c r="GI66" s="298"/>
      <c r="GJ66" s="298"/>
      <c r="GK66" s="298"/>
      <c r="GL66" s="298"/>
      <c r="GM66" s="298"/>
      <c r="GN66" s="298"/>
      <c r="GO66" s="298"/>
      <c r="GP66" s="298"/>
      <c r="GQ66" s="298"/>
      <c r="GR66" s="298"/>
      <c r="GS66" s="298"/>
      <c r="GT66" s="298"/>
      <c r="GU66" s="298"/>
      <c r="GV66" s="298"/>
      <c r="GW66" s="298"/>
      <c r="GX66" s="298"/>
      <c r="GY66" s="298"/>
      <c r="GZ66" s="298"/>
      <c r="HA66" s="298"/>
      <c r="HB66" s="298"/>
      <c r="HC66" s="298"/>
      <c r="HD66" s="298"/>
      <c r="HE66" s="298"/>
      <c r="HF66" s="298"/>
      <c r="HG66" s="298"/>
      <c r="HH66" s="298"/>
      <c r="HI66" s="298"/>
      <c r="HJ66" s="298"/>
      <c r="HK66" s="298"/>
      <c r="HL66" s="298"/>
      <c r="HM66" s="298"/>
      <c r="HN66" s="298"/>
      <c r="HO66" s="298"/>
      <c r="HP66" s="298"/>
      <c r="HQ66" s="298"/>
      <c r="HR66" s="298"/>
      <c r="HS66" s="298"/>
      <c r="HT66" s="298"/>
      <c r="HU66" s="298"/>
      <c r="HV66" s="298"/>
      <c r="HW66" s="298"/>
      <c r="HX66" s="298"/>
      <c r="HY66" s="298"/>
      <c r="HZ66" s="298"/>
      <c r="IA66" s="298"/>
      <c r="IB66" s="298"/>
      <c r="IC66" s="298"/>
      <c r="ID66" s="298"/>
      <c r="IE66" s="298"/>
      <c r="IF66" s="298"/>
      <c r="IG66" s="298"/>
      <c r="IH66" s="298"/>
      <c r="II66" s="298"/>
      <c r="IJ66" s="298"/>
      <c r="IK66" s="298"/>
      <c r="IL66" s="298"/>
      <c r="IM66" s="298"/>
      <c r="IN66" s="298"/>
      <c r="IO66" s="298"/>
      <c r="IP66" s="298"/>
      <c r="IQ66" s="298"/>
      <c r="IR66" s="298"/>
      <c r="IS66" s="298"/>
      <c r="IT66" s="298"/>
      <c r="IU66" s="298"/>
      <c r="IV66" s="298"/>
    </row>
    <row r="67" spans="1:256" ht="21.75" customHeight="1">
      <c r="A67" s="679" t="s">
        <v>705</v>
      </c>
      <c r="B67" s="680">
        <v>30000</v>
      </c>
      <c r="C67" s="317"/>
      <c r="D67" s="297"/>
      <c r="E67" s="297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  <c r="BC67" s="298"/>
      <c r="BD67" s="298"/>
      <c r="BE67" s="298"/>
      <c r="BF67" s="298"/>
      <c r="BG67" s="298"/>
      <c r="BH67" s="298"/>
      <c r="BI67" s="298"/>
      <c r="BJ67" s="298"/>
      <c r="BK67" s="298"/>
      <c r="BL67" s="298"/>
      <c r="BM67" s="298"/>
      <c r="BN67" s="298"/>
      <c r="BO67" s="298"/>
      <c r="BP67" s="298"/>
      <c r="BQ67" s="298"/>
      <c r="BR67" s="298"/>
      <c r="BS67" s="298"/>
      <c r="BT67" s="298"/>
      <c r="BU67" s="298"/>
      <c r="BV67" s="298"/>
      <c r="BW67" s="298"/>
      <c r="BX67" s="298"/>
      <c r="BY67" s="298"/>
      <c r="BZ67" s="298"/>
      <c r="CA67" s="298"/>
      <c r="CB67" s="298"/>
      <c r="CC67" s="298"/>
      <c r="CD67" s="298"/>
      <c r="CE67" s="298"/>
      <c r="CF67" s="298"/>
      <c r="CG67" s="298"/>
      <c r="CH67" s="298"/>
      <c r="CI67" s="298"/>
      <c r="CJ67" s="298"/>
      <c r="CK67" s="298"/>
      <c r="CL67" s="298"/>
      <c r="CM67" s="298"/>
      <c r="CN67" s="298"/>
      <c r="CO67" s="298"/>
      <c r="CP67" s="298"/>
      <c r="CQ67" s="298"/>
      <c r="CR67" s="298"/>
      <c r="CS67" s="298"/>
      <c r="CT67" s="298"/>
      <c r="CU67" s="298"/>
      <c r="CV67" s="298"/>
      <c r="CW67" s="298"/>
      <c r="CX67" s="298"/>
      <c r="CY67" s="298"/>
      <c r="CZ67" s="298"/>
      <c r="DA67" s="298"/>
      <c r="DB67" s="298"/>
      <c r="DC67" s="298"/>
      <c r="DD67" s="298"/>
      <c r="DE67" s="298"/>
      <c r="DF67" s="298"/>
      <c r="DG67" s="298"/>
      <c r="DH67" s="298"/>
      <c r="DI67" s="298"/>
      <c r="DJ67" s="298"/>
      <c r="DK67" s="298"/>
      <c r="DL67" s="298"/>
      <c r="DM67" s="298"/>
      <c r="DN67" s="298"/>
      <c r="DO67" s="298"/>
      <c r="DP67" s="298"/>
      <c r="DQ67" s="298"/>
      <c r="DR67" s="298"/>
      <c r="DS67" s="298"/>
      <c r="DT67" s="298"/>
      <c r="DU67" s="298"/>
      <c r="DV67" s="298"/>
      <c r="DW67" s="298"/>
      <c r="DX67" s="298"/>
      <c r="DY67" s="298"/>
      <c r="DZ67" s="298"/>
      <c r="EA67" s="298"/>
      <c r="EB67" s="298"/>
      <c r="EC67" s="298"/>
      <c r="ED67" s="298"/>
      <c r="EE67" s="298"/>
      <c r="EF67" s="298"/>
      <c r="EG67" s="298"/>
      <c r="EH67" s="298"/>
      <c r="EI67" s="298"/>
      <c r="EJ67" s="298"/>
      <c r="EK67" s="298"/>
      <c r="EL67" s="298"/>
      <c r="EM67" s="298"/>
      <c r="EN67" s="298"/>
      <c r="EO67" s="298"/>
      <c r="EP67" s="298"/>
      <c r="EQ67" s="298"/>
      <c r="ER67" s="298"/>
      <c r="ES67" s="298"/>
      <c r="ET67" s="298"/>
      <c r="EU67" s="298"/>
      <c r="EV67" s="298"/>
      <c r="EW67" s="298"/>
      <c r="EX67" s="298"/>
      <c r="EY67" s="298"/>
      <c r="EZ67" s="298"/>
      <c r="FA67" s="298"/>
      <c r="FB67" s="298"/>
      <c r="FC67" s="298"/>
      <c r="FD67" s="298"/>
      <c r="FE67" s="298"/>
      <c r="FF67" s="298"/>
      <c r="FG67" s="298"/>
      <c r="FH67" s="298"/>
      <c r="FI67" s="298"/>
      <c r="FJ67" s="298"/>
      <c r="FK67" s="298"/>
      <c r="FL67" s="298"/>
      <c r="FM67" s="298"/>
      <c r="FN67" s="298"/>
      <c r="FO67" s="298"/>
      <c r="FP67" s="298"/>
      <c r="FQ67" s="298"/>
      <c r="FR67" s="298"/>
      <c r="FS67" s="298"/>
      <c r="FT67" s="298"/>
      <c r="FU67" s="298"/>
      <c r="FV67" s="298"/>
      <c r="FW67" s="298"/>
      <c r="FX67" s="298"/>
      <c r="FY67" s="298"/>
      <c r="FZ67" s="298"/>
      <c r="GA67" s="298"/>
      <c r="GB67" s="298"/>
      <c r="GC67" s="298"/>
      <c r="GD67" s="298"/>
      <c r="GE67" s="298"/>
      <c r="GF67" s="298"/>
      <c r="GG67" s="298"/>
      <c r="GH67" s="298"/>
      <c r="GI67" s="298"/>
      <c r="GJ67" s="298"/>
      <c r="GK67" s="298"/>
      <c r="GL67" s="298"/>
      <c r="GM67" s="298"/>
      <c r="GN67" s="298"/>
      <c r="GO67" s="298"/>
      <c r="GP67" s="298"/>
      <c r="GQ67" s="298"/>
      <c r="GR67" s="298"/>
      <c r="GS67" s="298"/>
      <c r="GT67" s="298"/>
      <c r="GU67" s="298"/>
      <c r="GV67" s="298"/>
      <c r="GW67" s="298"/>
      <c r="GX67" s="298"/>
      <c r="GY67" s="298"/>
      <c r="GZ67" s="298"/>
      <c r="HA67" s="298"/>
      <c r="HB67" s="298"/>
      <c r="HC67" s="298"/>
      <c r="HD67" s="298"/>
      <c r="HE67" s="298"/>
      <c r="HF67" s="298"/>
      <c r="HG67" s="298"/>
      <c r="HH67" s="298"/>
      <c r="HI67" s="298"/>
      <c r="HJ67" s="298"/>
      <c r="HK67" s="298"/>
      <c r="HL67" s="298"/>
      <c r="HM67" s="298"/>
      <c r="HN67" s="298"/>
      <c r="HO67" s="298"/>
      <c r="HP67" s="298"/>
      <c r="HQ67" s="298"/>
      <c r="HR67" s="298"/>
      <c r="HS67" s="298"/>
      <c r="HT67" s="298"/>
      <c r="HU67" s="298"/>
      <c r="HV67" s="298"/>
      <c r="HW67" s="298"/>
      <c r="HX67" s="298"/>
      <c r="HY67" s="298"/>
      <c r="HZ67" s="298"/>
      <c r="IA67" s="298"/>
      <c r="IB67" s="298"/>
      <c r="IC67" s="298"/>
      <c r="ID67" s="298"/>
      <c r="IE67" s="298"/>
      <c r="IF67" s="298"/>
      <c r="IG67" s="298"/>
      <c r="IH67" s="298"/>
      <c r="II67" s="298"/>
      <c r="IJ67" s="298"/>
      <c r="IK67" s="298"/>
      <c r="IL67" s="298"/>
      <c r="IM67" s="298"/>
      <c r="IN67" s="298"/>
      <c r="IO67" s="298"/>
      <c r="IP67" s="298"/>
      <c r="IQ67" s="298"/>
      <c r="IR67" s="298"/>
      <c r="IS67" s="298"/>
      <c r="IT67" s="298"/>
      <c r="IU67" s="298"/>
      <c r="IV67" s="298"/>
    </row>
    <row r="68" spans="1:256" ht="21.75" customHeight="1">
      <c r="A68" s="679" t="s">
        <v>706</v>
      </c>
      <c r="B68" s="680">
        <v>478</v>
      </c>
      <c r="C68" s="317"/>
      <c r="D68" s="297"/>
      <c r="E68" s="297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  <c r="BC68" s="298"/>
      <c r="BD68" s="298"/>
      <c r="BE68" s="298"/>
      <c r="BF68" s="298"/>
      <c r="BG68" s="298"/>
      <c r="BH68" s="298"/>
      <c r="BI68" s="298"/>
      <c r="BJ68" s="298"/>
      <c r="BK68" s="298"/>
      <c r="BL68" s="298"/>
      <c r="BM68" s="298"/>
      <c r="BN68" s="298"/>
      <c r="BO68" s="298"/>
      <c r="BP68" s="298"/>
      <c r="BQ68" s="298"/>
      <c r="BR68" s="298"/>
      <c r="BS68" s="298"/>
      <c r="BT68" s="298"/>
      <c r="BU68" s="298"/>
      <c r="BV68" s="298"/>
      <c r="BW68" s="298"/>
      <c r="BX68" s="298"/>
      <c r="BY68" s="298"/>
      <c r="BZ68" s="298"/>
      <c r="CA68" s="298"/>
      <c r="CB68" s="298"/>
      <c r="CC68" s="298"/>
      <c r="CD68" s="298"/>
      <c r="CE68" s="298"/>
      <c r="CF68" s="298"/>
      <c r="CG68" s="298"/>
      <c r="CH68" s="298"/>
      <c r="CI68" s="298"/>
      <c r="CJ68" s="298"/>
      <c r="CK68" s="298"/>
      <c r="CL68" s="298"/>
      <c r="CM68" s="298"/>
      <c r="CN68" s="298"/>
      <c r="CO68" s="298"/>
      <c r="CP68" s="298"/>
      <c r="CQ68" s="298"/>
      <c r="CR68" s="298"/>
      <c r="CS68" s="298"/>
      <c r="CT68" s="298"/>
      <c r="CU68" s="298"/>
      <c r="CV68" s="298"/>
      <c r="CW68" s="298"/>
      <c r="CX68" s="298"/>
      <c r="CY68" s="298"/>
      <c r="CZ68" s="298"/>
      <c r="DA68" s="298"/>
      <c r="DB68" s="298"/>
      <c r="DC68" s="298"/>
      <c r="DD68" s="298"/>
      <c r="DE68" s="298"/>
      <c r="DF68" s="298"/>
      <c r="DG68" s="298"/>
      <c r="DH68" s="298"/>
      <c r="DI68" s="298"/>
      <c r="DJ68" s="298"/>
      <c r="DK68" s="298"/>
      <c r="DL68" s="298"/>
      <c r="DM68" s="298"/>
      <c r="DN68" s="298"/>
      <c r="DO68" s="298"/>
      <c r="DP68" s="298"/>
      <c r="DQ68" s="298"/>
      <c r="DR68" s="298"/>
      <c r="DS68" s="298"/>
      <c r="DT68" s="298"/>
      <c r="DU68" s="298"/>
      <c r="DV68" s="298"/>
      <c r="DW68" s="298"/>
      <c r="DX68" s="298"/>
      <c r="DY68" s="298"/>
      <c r="DZ68" s="298"/>
      <c r="EA68" s="298"/>
      <c r="EB68" s="298"/>
      <c r="EC68" s="298"/>
      <c r="ED68" s="298"/>
      <c r="EE68" s="298"/>
      <c r="EF68" s="298"/>
      <c r="EG68" s="298"/>
      <c r="EH68" s="298"/>
      <c r="EI68" s="298"/>
      <c r="EJ68" s="298"/>
      <c r="EK68" s="298"/>
      <c r="EL68" s="298"/>
      <c r="EM68" s="298"/>
      <c r="EN68" s="298"/>
      <c r="EO68" s="298"/>
      <c r="EP68" s="298"/>
      <c r="EQ68" s="298"/>
      <c r="ER68" s="298"/>
      <c r="ES68" s="298"/>
      <c r="ET68" s="298"/>
      <c r="EU68" s="298"/>
      <c r="EV68" s="298"/>
      <c r="EW68" s="298"/>
      <c r="EX68" s="298"/>
      <c r="EY68" s="298"/>
      <c r="EZ68" s="298"/>
      <c r="FA68" s="298"/>
      <c r="FB68" s="298"/>
      <c r="FC68" s="298"/>
      <c r="FD68" s="298"/>
      <c r="FE68" s="298"/>
      <c r="FF68" s="298"/>
      <c r="FG68" s="298"/>
      <c r="FH68" s="298"/>
      <c r="FI68" s="298"/>
      <c r="FJ68" s="298"/>
      <c r="FK68" s="298"/>
      <c r="FL68" s="298"/>
      <c r="FM68" s="298"/>
      <c r="FN68" s="298"/>
      <c r="FO68" s="298"/>
      <c r="FP68" s="298"/>
      <c r="FQ68" s="298"/>
      <c r="FR68" s="298"/>
      <c r="FS68" s="298"/>
      <c r="FT68" s="298"/>
      <c r="FU68" s="298"/>
      <c r="FV68" s="298"/>
      <c r="FW68" s="298"/>
      <c r="FX68" s="298"/>
      <c r="FY68" s="298"/>
      <c r="FZ68" s="298"/>
      <c r="GA68" s="298"/>
      <c r="GB68" s="298"/>
      <c r="GC68" s="298"/>
      <c r="GD68" s="298"/>
      <c r="GE68" s="298"/>
      <c r="GF68" s="298"/>
      <c r="GG68" s="298"/>
      <c r="GH68" s="298"/>
      <c r="GI68" s="298"/>
      <c r="GJ68" s="298"/>
      <c r="GK68" s="298"/>
      <c r="GL68" s="298"/>
      <c r="GM68" s="298"/>
      <c r="GN68" s="298"/>
      <c r="GO68" s="298"/>
      <c r="GP68" s="298"/>
      <c r="GQ68" s="298"/>
      <c r="GR68" s="298"/>
      <c r="GS68" s="298"/>
      <c r="GT68" s="298"/>
      <c r="GU68" s="298"/>
      <c r="GV68" s="298"/>
      <c r="GW68" s="298"/>
      <c r="GX68" s="298"/>
      <c r="GY68" s="298"/>
      <c r="GZ68" s="298"/>
      <c r="HA68" s="298"/>
      <c r="HB68" s="298"/>
      <c r="HC68" s="298"/>
      <c r="HD68" s="298"/>
      <c r="HE68" s="298"/>
      <c r="HF68" s="298"/>
      <c r="HG68" s="298"/>
      <c r="HH68" s="298"/>
      <c r="HI68" s="298"/>
      <c r="HJ68" s="298"/>
      <c r="HK68" s="298"/>
      <c r="HL68" s="298"/>
      <c r="HM68" s="298"/>
      <c r="HN68" s="298"/>
      <c r="HO68" s="298"/>
      <c r="HP68" s="298"/>
      <c r="HQ68" s="298"/>
      <c r="HR68" s="298"/>
      <c r="HS68" s="298"/>
      <c r="HT68" s="298"/>
      <c r="HU68" s="298"/>
      <c r="HV68" s="298"/>
      <c r="HW68" s="298"/>
      <c r="HX68" s="298"/>
      <c r="HY68" s="298"/>
      <c r="HZ68" s="298"/>
      <c r="IA68" s="298"/>
      <c r="IB68" s="298"/>
      <c r="IC68" s="298"/>
      <c r="ID68" s="298"/>
      <c r="IE68" s="298"/>
      <c r="IF68" s="298"/>
      <c r="IG68" s="298"/>
      <c r="IH68" s="298"/>
      <c r="II68" s="298"/>
      <c r="IJ68" s="298"/>
      <c r="IK68" s="298"/>
      <c r="IL68" s="298"/>
      <c r="IM68" s="298"/>
      <c r="IN68" s="298"/>
      <c r="IO68" s="298"/>
      <c r="IP68" s="298"/>
      <c r="IQ68" s="298"/>
      <c r="IR68" s="298"/>
      <c r="IS68" s="298"/>
      <c r="IT68" s="298"/>
      <c r="IU68" s="298"/>
      <c r="IV68" s="298"/>
    </row>
    <row r="69" spans="1:256" ht="21.75" customHeight="1">
      <c r="A69" s="679" t="s">
        <v>707</v>
      </c>
      <c r="B69" s="680">
        <v>3093</v>
      </c>
      <c r="C69" s="317"/>
      <c r="D69" s="297"/>
      <c r="E69" s="297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  <c r="AZ69" s="298"/>
      <c r="BA69" s="298"/>
      <c r="BB69" s="298"/>
      <c r="BC69" s="298"/>
      <c r="BD69" s="298"/>
      <c r="BE69" s="298"/>
      <c r="BF69" s="298"/>
      <c r="BG69" s="298"/>
      <c r="BH69" s="298"/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8"/>
      <c r="BW69" s="298"/>
      <c r="BX69" s="298"/>
      <c r="BY69" s="298"/>
      <c r="BZ69" s="298"/>
      <c r="CA69" s="298"/>
      <c r="CB69" s="298"/>
      <c r="CC69" s="298"/>
      <c r="CD69" s="298"/>
      <c r="CE69" s="298"/>
      <c r="CF69" s="298"/>
      <c r="CG69" s="298"/>
      <c r="CH69" s="298"/>
      <c r="CI69" s="298"/>
      <c r="CJ69" s="298"/>
      <c r="CK69" s="298"/>
      <c r="CL69" s="298"/>
      <c r="CM69" s="298"/>
      <c r="CN69" s="298"/>
      <c r="CO69" s="298"/>
      <c r="CP69" s="298"/>
      <c r="CQ69" s="298"/>
      <c r="CR69" s="298"/>
      <c r="CS69" s="298"/>
      <c r="CT69" s="298"/>
      <c r="CU69" s="298"/>
      <c r="CV69" s="298"/>
      <c r="CW69" s="298"/>
      <c r="CX69" s="298"/>
      <c r="CY69" s="298"/>
      <c r="CZ69" s="298"/>
      <c r="DA69" s="298"/>
      <c r="DB69" s="298"/>
      <c r="DC69" s="298"/>
      <c r="DD69" s="298"/>
      <c r="DE69" s="298"/>
      <c r="DF69" s="298"/>
      <c r="DG69" s="298"/>
      <c r="DH69" s="298"/>
      <c r="DI69" s="298"/>
      <c r="DJ69" s="298"/>
      <c r="DK69" s="298"/>
      <c r="DL69" s="298"/>
      <c r="DM69" s="298"/>
      <c r="DN69" s="298"/>
      <c r="DO69" s="298"/>
      <c r="DP69" s="298"/>
      <c r="DQ69" s="298"/>
      <c r="DR69" s="298"/>
      <c r="DS69" s="298"/>
      <c r="DT69" s="298"/>
      <c r="DU69" s="298"/>
      <c r="DV69" s="298"/>
      <c r="DW69" s="298"/>
      <c r="DX69" s="298"/>
      <c r="DY69" s="298"/>
      <c r="DZ69" s="298"/>
      <c r="EA69" s="298"/>
      <c r="EB69" s="298"/>
      <c r="EC69" s="298"/>
      <c r="ED69" s="298"/>
      <c r="EE69" s="298"/>
      <c r="EF69" s="298"/>
      <c r="EG69" s="298"/>
      <c r="EH69" s="298"/>
      <c r="EI69" s="298"/>
      <c r="EJ69" s="298"/>
      <c r="EK69" s="298"/>
      <c r="EL69" s="298"/>
      <c r="EM69" s="298"/>
      <c r="EN69" s="298"/>
      <c r="EO69" s="298"/>
      <c r="EP69" s="298"/>
      <c r="EQ69" s="298"/>
      <c r="ER69" s="298"/>
      <c r="ES69" s="298"/>
      <c r="ET69" s="298"/>
      <c r="EU69" s="298"/>
      <c r="EV69" s="298"/>
      <c r="EW69" s="298"/>
      <c r="EX69" s="298"/>
      <c r="EY69" s="298"/>
      <c r="EZ69" s="298"/>
      <c r="FA69" s="298"/>
      <c r="FB69" s="298"/>
      <c r="FC69" s="298"/>
      <c r="FD69" s="298"/>
      <c r="FE69" s="298"/>
      <c r="FF69" s="298"/>
      <c r="FG69" s="298"/>
      <c r="FH69" s="298"/>
      <c r="FI69" s="298"/>
      <c r="FJ69" s="298"/>
      <c r="FK69" s="298"/>
      <c r="FL69" s="298"/>
      <c r="FM69" s="298"/>
      <c r="FN69" s="298"/>
      <c r="FO69" s="298"/>
      <c r="FP69" s="298"/>
      <c r="FQ69" s="298"/>
      <c r="FR69" s="298"/>
      <c r="FS69" s="298"/>
      <c r="FT69" s="298"/>
      <c r="FU69" s="298"/>
      <c r="FV69" s="298"/>
      <c r="FW69" s="298"/>
      <c r="FX69" s="298"/>
      <c r="FY69" s="298"/>
      <c r="FZ69" s="298"/>
      <c r="GA69" s="298"/>
      <c r="GB69" s="298"/>
      <c r="GC69" s="298"/>
      <c r="GD69" s="298"/>
      <c r="GE69" s="298"/>
      <c r="GF69" s="298"/>
      <c r="GG69" s="298"/>
      <c r="GH69" s="298"/>
      <c r="GI69" s="298"/>
      <c r="GJ69" s="298"/>
      <c r="GK69" s="298"/>
      <c r="GL69" s="298"/>
      <c r="GM69" s="298"/>
      <c r="GN69" s="298"/>
      <c r="GO69" s="298"/>
      <c r="GP69" s="298"/>
      <c r="GQ69" s="298"/>
      <c r="GR69" s="298"/>
      <c r="GS69" s="298"/>
      <c r="GT69" s="298"/>
      <c r="GU69" s="298"/>
      <c r="GV69" s="298"/>
      <c r="GW69" s="298"/>
      <c r="GX69" s="298"/>
      <c r="GY69" s="298"/>
      <c r="GZ69" s="298"/>
      <c r="HA69" s="298"/>
      <c r="HB69" s="298"/>
      <c r="HC69" s="298"/>
      <c r="HD69" s="298"/>
      <c r="HE69" s="298"/>
      <c r="HF69" s="298"/>
      <c r="HG69" s="298"/>
      <c r="HH69" s="298"/>
      <c r="HI69" s="298"/>
      <c r="HJ69" s="298"/>
      <c r="HK69" s="298"/>
      <c r="HL69" s="298"/>
      <c r="HM69" s="298"/>
      <c r="HN69" s="298"/>
      <c r="HO69" s="298"/>
      <c r="HP69" s="298"/>
      <c r="HQ69" s="298"/>
      <c r="HR69" s="298"/>
      <c r="HS69" s="298"/>
      <c r="HT69" s="298"/>
      <c r="HU69" s="298"/>
      <c r="HV69" s="298"/>
      <c r="HW69" s="298"/>
      <c r="HX69" s="298"/>
      <c r="HY69" s="298"/>
      <c r="HZ69" s="298"/>
      <c r="IA69" s="298"/>
      <c r="IB69" s="298"/>
      <c r="IC69" s="298"/>
      <c r="ID69" s="298"/>
      <c r="IE69" s="298"/>
      <c r="IF69" s="298"/>
      <c r="IG69" s="298"/>
      <c r="IH69" s="298"/>
      <c r="II69" s="298"/>
      <c r="IJ69" s="298"/>
      <c r="IK69" s="298"/>
      <c r="IL69" s="298"/>
      <c r="IM69" s="298"/>
      <c r="IN69" s="298"/>
      <c r="IO69" s="298"/>
      <c r="IP69" s="298"/>
      <c r="IQ69" s="298"/>
      <c r="IR69" s="298"/>
      <c r="IS69" s="298"/>
      <c r="IT69" s="298"/>
      <c r="IU69" s="298"/>
      <c r="IV69" s="298"/>
    </row>
    <row r="70" spans="1:256" ht="21.75" customHeight="1">
      <c r="A70" s="679" t="s">
        <v>708</v>
      </c>
      <c r="B70" s="680">
        <v>2864</v>
      </c>
      <c r="C70" s="317"/>
      <c r="D70" s="297"/>
      <c r="E70" s="297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298"/>
      <c r="AQ70" s="298"/>
      <c r="AR70" s="298"/>
      <c r="AS70" s="298"/>
      <c r="AT70" s="298"/>
      <c r="AU70" s="298"/>
      <c r="AV70" s="298"/>
      <c r="AW70" s="298"/>
      <c r="AX70" s="298"/>
      <c r="AY70" s="298"/>
      <c r="AZ70" s="298"/>
      <c r="BA70" s="298"/>
      <c r="BB70" s="298"/>
      <c r="BC70" s="298"/>
      <c r="BD70" s="298"/>
      <c r="BE70" s="298"/>
      <c r="BF70" s="298"/>
      <c r="BG70" s="298"/>
      <c r="BH70" s="298"/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8"/>
      <c r="BW70" s="298"/>
      <c r="BX70" s="298"/>
      <c r="BY70" s="298"/>
      <c r="BZ70" s="298"/>
      <c r="CA70" s="298"/>
      <c r="CB70" s="298"/>
      <c r="CC70" s="298"/>
      <c r="CD70" s="298"/>
      <c r="CE70" s="298"/>
      <c r="CF70" s="298"/>
      <c r="CG70" s="298"/>
      <c r="CH70" s="298"/>
      <c r="CI70" s="298"/>
      <c r="CJ70" s="298"/>
      <c r="CK70" s="298"/>
      <c r="CL70" s="298"/>
      <c r="CM70" s="298"/>
      <c r="CN70" s="298"/>
      <c r="CO70" s="298"/>
      <c r="CP70" s="298"/>
      <c r="CQ70" s="298"/>
      <c r="CR70" s="298"/>
      <c r="CS70" s="298"/>
      <c r="CT70" s="298"/>
      <c r="CU70" s="298"/>
      <c r="CV70" s="298"/>
      <c r="CW70" s="298"/>
      <c r="CX70" s="298"/>
      <c r="CY70" s="298"/>
      <c r="CZ70" s="298"/>
      <c r="DA70" s="298"/>
      <c r="DB70" s="298"/>
      <c r="DC70" s="298"/>
      <c r="DD70" s="298"/>
      <c r="DE70" s="298"/>
      <c r="DF70" s="298"/>
      <c r="DG70" s="298"/>
      <c r="DH70" s="298"/>
      <c r="DI70" s="298"/>
      <c r="DJ70" s="298"/>
      <c r="DK70" s="298"/>
      <c r="DL70" s="298"/>
      <c r="DM70" s="298"/>
      <c r="DN70" s="298"/>
      <c r="DO70" s="298"/>
      <c r="DP70" s="298"/>
      <c r="DQ70" s="298"/>
      <c r="DR70" s="298"/>
      <c r="DS70" s="298"/>
      <c r="DT70" s="298"/>
      <c r="DU70" s="298"/>
      <c r="DV70" s="298"/>
      <c r="DW70" s="298"/>
      <c r="DX70" s="298"/>
      <c r="DY70" s="298"/>
      <c r="DZ70" s="298"/>
      <c r="EA70" s="298"/>
      <c r="EB70" s="298"/>
      <c r="EC70" s="298"/>
      <c r="ED70" s="298"/>
      <c r="EE70" s="298"/>
      <c r="EF70" s="298"/>
      <c r="EG70" s="298"/>
      <c r="EH70" s="298"/>
      <c r="EI70" s="298"/>
      <c r="EJ70" s="298"/>
      <c r="EK70" s="298"/>
      <c r="EL70" s="298"/>
      <c r="EM70" s="298"/>
      <c r="EN70" s="298"/>
      <c r="EO70" s="298"/>
      <c r="EP70" s="298"/>
      <c r="EQ70" s="298"/>
      <c r="ER70" s="298"/>
      <c r="ES70" s="298"/>
      <c r="ET70" s="298"/>
      <c r="EU70" s="298"/>
      <c r="EV70" s="298"/>
      <c r="EW70" s="298"/>
      <c r="EX70" s="298"/>
      <c r="EY70" s="298"/>
      <c r="EZ70" s="298"/>
      <c r="FA70" s="298"/>
      <c r="FB70" s="298"/>
      <c r="FC70" s="298"/>
      <c r="FD70" s="298"/>
      <c r="FE70" s="298"/>
      <c r="FF70" s="298"/>
      <c r="FG70" s="298"/>
      <c r="FH70" s="298"/>
      <c r="FI70" s="298"/>
      <c r="FJ70" s="298"/>
      <c r="FK70" s="298"/>
      <c r="FL70" s="298"/>
      <c r="FM70" s="298"/>
      <c r="FN70" s="298"/>
      <c r="FO70" s="298"/>
      <c r="FP70" s="298"/>
      <c r="FQ70" s="298"/>
      <c r="FR70" s="298"/>
      <c r="FS70" s="298"/>
      <c r="FT70" s="298"/>
      <c r="FU70" s="298"/>
      <c r="FV70" s="298"/>
      <c r="FW70" s="298"/>
      <c r="FX70" s="298"/>
      <c r="FY70" s="298"/>
      <c r="FZ70" s="298"/>
      <c r="GA70" s="298"/>
      <c r="GB70" s="298"/>
      <c r="GC70" s="298"/>
      <c r="GD70" s="298"/>
      <c r="GE70" s="298"/>
      <c r="GF70" s="298"/>
      <c r="GG70" s="298"/>
      <c r="GH70" s="298"/>
      <c r="GI70" s="298"/>
      <c r="GJ70" s="298"/>
      <c r="GK70" s="298"/>
      <c r="GL70" s="298"/>
      <c r="GM70" s="298"/>
      <c r="GN70" s="298"/>
      <c r="GO70" s="298"/>
      <c r="GP70" s="298"/>
      <c r="GQ70" s="298"/>
      <c r="GR70" s="298"/>
      <c r="GS70" s="298"/>
      <c r="GT70" s="298"/>
      <c r="GU70" s="298"/>
      <c r="GV70" s="298"/>
      <c r="GW70" s="298"/>
      <c r="GX70" s="298"/>
      <c r="GY70" s="298"/>
      <c r="GZ70" s="298"/>
      <c r="HA70" s="298"/>
      <c r="HB70" s="298"/>
      <c r="HC70" s="298"/>
      <c r="HD70" s="298"/>
      <c r="HE70" s="298"/>
      <c r="HF70" s="298"/>
      <c r="HG70" s="298"/>
      <c r="HH70" s="298"/>
      <c r="HI70" s="298"/>
      <c r="HJ70" s="298"/>
      <c r="HK70" s="298"/>
      <c r="HL70" s="298"/>
      <c r="HM70" s="298"/>
      <c r="HN70" s="298"/>
      <c r="HO70" s="298"/>
      <c r="HP70" s="298"/>
      <c r="HQ70" s="298"/>
      <c r="HR70" s="298"/>
      <c r="HS70" s="298"/>
      <c r="HT70" s="298"/>
      <c r="HU70" s="298"/>
      <c r="HV70" s="298"/>
      <c r="HW70" s="298"/>
      <c r="HX70" s="298"/>
      <c r="HY70" s="298"/>
      <c r="HZ70" s="298"/>
      <c r="IA70" s="298"/>
      <c r="IB70" s="298"/>
      <c r="IC70" s="298"/>
      <c r="ID70" s="298"/>
      <c r="IE70" s="298"/>
      <c r="IF70" s="298"/>
      <c r="IG70" s="298"/>
      <c r="IH70" s="298"/>
      <c r="II70" s="298"/>
      <c r="IJ70" s="298"/>
      <c r="IK70" s="298"/>
      <c r="IL70" s="298"/>
      <c r="IM70" s="298"/>
      <c r="IN70" s="298"/>
      <c r="IO70" s="298"/>
      <c r="IP70" s="298"/>
      <c r="IQ70" s="298"/>
      <c r="IR70" s="298"/>
      <c r="IS70" s="298"/>
      <c r="IT70" s="298"/>
      <c r="IU70" s="298"/>
      <c r="IV70" s="298"/>
    </row>
    <row r="71" spans="1:256" ht="21.75" customHeight="1">
      <c r="A71" s="679" t="s">
        <v>709</v>
      </c>
      <c r="B71" s="680">
        <v>778</v>
      </c>
      <c r="C71" s="317"/>
      <c r="D71" s="297"/>
      <c r="E71" s="297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8"/>
      <c r="AQ71" s="298"/>
      <c r="AR71" s="298"/>
      <c r="AS71" s="298"/>
      <c r="AT71" s="298"/>
      <c r="AU71" s="298"/>
      <c r="AV71" s="298"/>
      <c r="AW71" s="298"/>
      <c r="AX71" s="298"/>
      <c r="AY71" s="298"/>
      <c r="AZ71" s="298"/>
      <c r="BA71" s="298"/>
      <c r="BB71" s="298"/>
      <c r="BC71" s="298"/>
      <c r="BD71" s="298"/>
      <c r="BE71" s="298"/>
      <c r="BF71" s="298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  <c r="BW71" s="298"/>
      <c r="BX71" s="298"/>
      <c r="BY71" s="298"/>
      <c r="BZ71" s="298"/>
      <c r="CA71" s="298"/>
      <c r="CB71" s="298"/>
      <c r="CC71" s="298"/>
      <c r="CD71" s="298"/>
      <c r="CE71" s="298"/>
      <c r="CF71" s="298"/>
      <c r="CG71" s="298"/>
      <c r="CH71" s="298"/>
      <c r="CI71" s="298"/>
      <c r="CJ71" s="298"/>
      <c r="CK71" s="298"/>
      <c r="CL71" s="298"/>
      <c r="CM71" s="298"/>
      <c r="CN71" s="298"/>
      <c r="CO71" s="298"/>
      <c r="CP71" s="298"/>
      <c r="CQ71" s="298"/>
      <c r="CR71" s="298"/>
      <c r="CS71" s="298"/>
      <c r="CT71" s="298"/>
      <c r="CU71" s="298"/>
      <c r="CV71" s="298"/>
      <c r="CW71" s="298"/>
      <c r="CX71" s="298"/>
      <c r="CY71" s="298"/>
      <c r="CZ71" s="298"/>
      <c r="DA71" s="298"/>
      <c r="DB71" s="298"/>
      <c r="DC71" s="298"/>
      <c r="DD71" s="298"/>
      <c r="DE71" s="298"/>
      <c r="DF71" s="298"/>
      <c r="DG71" s="298"/>
      <c r="DH71" s="298"/>
      <c r="DI71" s="298"/>
      <c r="DJ71" s="298"/>
      <c r="DK71" s="298"/>
      <c r="DL71" s="298"/>
      <c r="DM71" s="298"/>
      <c r="DN71" s="298"/>
      <c r="DO71" s="298"/>
      <c r="DP71" s="298"/>
      <c r="DQ71" s="298"/>
      <c r="DR71" s="298"/>
      <c r="DS71" s="298"/>
      <c r="DT71" s="298"/>
      <c r="DU71" s="298"/>
      <c r="DV71" s="298"/>
      <c r="DW71" s="298"/>
      <c r="DX71" s="298"/>
      <c r="DY71" s="298"/>
      <c r="DZ71" s="298"/>
      <c r="EA71" s="298"/>
      <c r="EB71" s="298"/>
      <c r="EC71" s="298"/>
      <c r="ED71" s="298"/>
      <c r="EE71" s="298"/>
      <c r="EF71" s="298"/>
      <c r="EG71" s="298"/>
      <c r="EH71" s="298"/>
      <c r="EI71" s="298"/>
      <c r="EJ71" s="298"/>
      <c r="EK71" s="298"/>
      <c r="EL71" s="298"/>
      <c r="EM71" s="298"/>
      <c r="EN71" s="298"/>
      <c r="EO71" s="298"/>
      <c r="EP71" s="298"/>
      <c r="EQ71" s="298"/>
      <c r="ER71" s="298"/>
      <c r="ES71" s="298"/>
      <c r="ET71" s="298"/>
      <c r="EU71" s="298"/>
      <c r="EV71" s="298"/>
      <c r="EW71" s="298"/>
      <c r="EX71" s="298"/>
      <c r="EY71" s="298"/>
      <c r="EZ71" s="298"/>
      <c r="FA71" s="298"/>
      <c r="FB71" s="298"/>
      <c r="FC71" s="298"/>
      <c r="FD71" s="298"/>
      <c r="FE71" s="298"/>
      <c r="FF71" s="298"/>
      <c r="FG71" s="298"/>
      <c r="FH71" s="298"/>
      <c r="FI71" s="298"/>
      <c r="FJ71" s="298"/>
      <c r="FK71" s="298"/>
      <c r="FL71" s="298"/>
      <c r="FM71" s="298"/>
      <c r="FN71" s="298"/>
      <c r="FO71" s="298"/>
      <c r="FP71" s="298"/>
      <c r="FQ71" s="298"/>
      <c r="FR71" s="298"/>
      <c r="FS71" s="298"/>
      <c r="FT71" s="298"/>
      <c r="FU71" s="298"/>
      <c r="FV71" s="298"/>
      <c r="FW71" s="298"/>
      <c r="FX71" s="298"/>
      <c r="FY71" s="298"/>
      <c r="FZ71" s="298"/>
      <c r="GA71" s="298"/>
      <c r="GB71" s="298"/>
      <c r="GC71" s="298"/>
      <c r="GD71" s="298"/>
      <c r="GE71" s="298"/>
      <c r="GF71" s="298"/>
      <c r="GG71" s="298"/>
      <c r="GH71" s="298"/>
      <c r="GI71" s="298"/>
      <c r="GJ71" s="298"/>
      <c r="GK71" s="298"/>
      <c r="GL71" s="298"/>
      <c r="GM71" s="298"/>
      <c r="GN71" s="298"/>
      <c r="GO71" s="298"/>
      <c r="GP71" s="298"/>
      <c r="GQ71" s="298"/>
      <c r="GR71" s="298"/>
      <c r="GS71" s="298"/>
      <c r="GT71" s="298"/>
      <c r="GU71" s="298"/>
      <c r="GV71" s="298"/>
      <c r="GW71" s="298"/>
      <c r="GX71" s="298"/>
      <c r="GY71" s="298"/>
      <c r="GZ71" s="298"/>
      <c r="HA71" s="298"/>
      <c r="HB71" s="298"/>
      <c r="HC71" s="298"/>
      <c r="HD71" s="298"/>
      <c r="HE71" s="298"/>
      <c r="HF71" s="298"/>
      <c r="HG71" s="298"/>
      <c r="HH71" s="298"/>
      <c r="HI71" s="298"/>
      <c r="HJ71" s="298"/>
      <c r="HK71" s="298"/>
      <c r="HL71" s="298"/>
      <c r="HM71" s="298"/>
      <c r="HN71" s="298"/>
      <c r="HO71" s="298"/>
      <c r="HP71" s="298"/>
      <c r="HQ71" s="298"/>
      <c r="HR71" s="298"/>
      <c r="HS71" s="298"/>
      <c r="HT71" s="298"/>
      <c r="HU71" s="298"/>
      <c r="HV71" s="298"/>
      <c r="HW71" s="298"/>
      <c r="HX71" s="298"/>
      <c r="HY71" s="298"/>
      <c r="HZ71" s="298"/>
      <c r="IA71" s="298"/>
      <c r="IB71" s="298"/>
      <c r="IC71" s="298"/>
      <c r="ID71" s="298"/>
      <c r="IE71" s="298"/>
      <c r="IF71" s="298"/>
      <c r="IG71" s="298"/>
      <c r="IH71" s="298"/>
      <c r="II71" s="298"/>
      <c r="IJ71" s="298"/>
      <c r="IK71" s="298"/>
      <c r="IL71" s="298"/>
      <c r="IM71" s="298"/>
      <c r="IN71" s="298"/>
      <c r="IO71" s="298"/>
      <c r="IP71" s="298"/>
      <c r="IQ71" s="298"/>
      <c r="IR71" s="298"/>
      <c r="IS71" s="298"/>
      <c r="IT71" s="298"/>
      <c r="IU71" s="298"/>
      <c r="IV71" s="298"/>
    </row>
    <row r="72" spans="1:256" ht="21.75" customHeight="1" thickBot="1">
      <c r="A72" s="679" t="s">
        <v>710</v>
      </c>
      <c r="B72" s="680">
        <v>17</v>
      </c>
      <c r="C72" s="317"/>
      <c r="D72" s="297"/>
      <c r="E72" s="297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8"/>
      <c r="AQ72" s="298"/>
      <c r="AR72" s="298"/>
      <c r="AS72" s="298"/>
      <c r="AT72" s="298"/>
      <c r="AU72" s="298"/>
      <c r="AV72" s="298"/>
      <c r="AW72" s="298"/>
      <c r="AX72" s="298"/>
      <c r="AY72" s="298"/>
      <c r="AZ72" s="298"/>
      <c r="BA72" s="298"/>
      <c r="BB72" s="298"/>
      <c r="BC72" s="298"/>
      <c r="BD72" s="298"/>
      <c r="BE72" s="298"/>
      <c r="BF72" s="298"/>
      <c r="BG72" s="298"/>
      <c r="BH72" s="298"/>
      <c r="BI72" s="298"/>
      <c r="BJ72" s="298"/>
      <c r="BK72" s="298"/>
      <c r="BL72" s="298"/>
      <c r="BM72" s="298"/>
      <c r="BN72" s="298"/>
      <c r="BO72" s="298"/>
      <c r="BP72" s="298"/>
      <c r="BQ72" s="298"/>
      <c r="BR72" s="298"/>
      <c r="BS72" s="298"/>
      <c r="BT72" s="298"/>
      <c r="BU72" s="298"/>
      <c r="BV72" s="298"/>
      <c r="BW72" s="298"/>
      <c r="BX72" s="298"/>
      <c r="BY72" s="298"/>
      <c r="BZ72" s="298"/>
      <c r="CA72" s="298"/>
      <c r="CB72" s="298"/>
      <c r="CC72" s="298"/>
      <c r="CD72" s="298"/>
      <c r="CE72" s="298"/>
      <c r="CF72" s="298"/>
      <c r="CG72" s="298"/>
      <c r="CH72" s="298"/>
      <c r="CI72" s="298"/>
      <c r="CJ72" s="298"/>
      <c r="CK72" s="298"/>
      <c r="CL72" s="298"/>
      <c r="CM72" s="298"/>
      <c r="CN72" s="298"/>
      <c r="CO72" s="298"/>
      <c r="CP72" s="298"/>
      <c r="CQ72" s="298"/>
      <c r="CR72" s="298"/>
      <c r="CS72" s="298"/>
      <c r="CT72" s="298"/>
      <c r="CU72" s="298"/>
      <c r="CV72" s="298"/>
      <c r="CW72" s="298"/>
      <c r="CX72" s="298"/>
      <c r="CY72" s="298"/>
      <c r="CZ72" s="298"/>
      <c r="DA72" s="298"/>
      <c r="DB72" s="298"/>
      <c r="DC72" s="298"/>
      <c r="DD72" s="298"/>
      <c r="DE72" s="298"/>
      <c r="DF72" s="298"/>
      <c r="DG72" s="298"/>
      <c r="DH72" s="298"/>
      <c r="DI72" s="298"/>
      <c r="DJ72" s="298"/>
      <c r="DK72" s="298"/>
      <c r="DL72" s="298"/>
      <c r="DM72" s="298"/>
      <c r="DN72" s="298"/>
      <c r="DO72" s="298"/>
      <c r="DP72" s="298"/>
      <c r="DQ72" s="298"/>
      <c r="DR72" s="298"/>
      <c r="DS72" s="298"/>
      <c r="DT72" s="298"/>
      <c r="DU72" s="298"/>
      <c r="DV72" s="298"/>
      <c r="DW72" s="298"/>
      <c r="DX72" s="298"/>
      <c r="DY72" s="298"/>
      <c r="DZ72" s="298"/>
      <c r="EA72" s="298"/>
      <c r="EB72" s="298"/>
      <c r="EC72" s="298"/>
      <c r="ED72" s="298"/>
      <c r="EE72" s="298"/>
      <c r="EF72" s="298"/>
      <c r="EG72" s="298"/>
      <c r="EH72" s="298"/>
      <c r="EI72" s="298"/>
      <c r="EJ72" s="298"/>
      <c r="EK72" s="298"/>
      <c r="EL72" s="298"/>
      <c r="EM72" s="298"/>
      <c r="EN72" s="298"/>
      <c r="EO72" s="298"/>
      <c r="EP72" s="298"/>
      <c r="EQ72" s="298"/>
      <c r="ER72" s="298"/>
      <c r="ES72" s="298"/>
      <c r="ET72" s="298"/>
      <c r="EU72" s="298"/>
      <c r="EV72" s="298"/>
      <c r="EW72" s="298"/>
      <c r="EX72" s="298"/>
      <c r="EY72" s="298"/>
      <c r="EZ72" s="298"/>
      <c r="FA72" s="298"/>
      <c r="FB72" s="298"/>
      <c r="FC72" s="298"/>
      <c r="FD72" s="298"/>
      <c r="FE72" s="298"/>
      <c r="FF72" s="298"/>
      <c r="FG72" s="298"/>
      <c r="FH72" s="298"/>
      <c r="FI72" s="298"/>
      <c r="FJ72" s="298"/>
      <c r="FK72" s="298"/>
      <c r="FL72" s="298"/>
      <c r="FM72" s="298"/>
      <c r="FN72" s="298"/>
      <c r="FO72" s="298"/>
      <c r="FP72" s="298"/>
      <c r="FQ72" s="298"/>
      <c r="FR72" s="298"/>
      <c r="FS72" s="298"/>
      <c r="FT72" s="298"/>
      <c r="FU72" s="298"/>
      <c r="FV72" s="298"/>
      <c r="FW72" s="298"/>
      <c r="FX72" s="298"/>
      <c r="FY72" s="298"/>
      <c r="FZ72" s="298"/>
      <c r="GA72" s="298"/>
      <c r="GB72" s="298"/>
      <c r="GC72" s="298"/>
      <c r="GD72" s="298"/>
      <c r="GE72" s="298"/>
      <c r="GF72" s="298"/>
      <c r="GG72" s="298"/>
      <c r="GH72" s="298"/>
      <c r="GI72" s="298"/>
      <c r="GJ72" s="298"/>
      <c r="GK72" s="298"/>
      <c r="GL72" s="298"/>
      <c r="GM72" s="298"/>
      <c r="GN72" s="298"/>
      <c r="GO72" s="298"/>
      <c r="GP72" s="298"/>
      <c r="GQ72" s="298"/>
      <c r="GR72" s="298"/>
      <c r="GS72" s="298"/>
      <c r="GT72" s="298"/>
      <c r="GU72" s="298"/>
      <c r="GV72" s="298"/>
      <c r="GW72" s="298"/>
      <c r="GX72" s="298"/>
      <c r="GY72" s="298"/>
      <c r="GZ72" s="298"/>
      <c r="HA72" s="298"/>
      <c r="HB72" s="298"/>
      <c r="HC72" s="298"/>
      <c r="HD72" s="298"/>
      <c r="HE72" s="298"/>
      <c r="HF72" s="298"/>
      <c r="HG72" s="298"/>
      <c r="HH72" s="298"/>
      <c r="HI72" s="298"/>
      <c r="HJ72" s="298"/>
      <c r="HK72" s="298"/>
      <c r="HL72" s="298"/>
      <c r="HM72" s="298"/>
      <c r="HN72" s="298"/>
      <c r="HO72" s="298"/>
      <c r="HP72" s="298"/>
      <c r="HQ72" s="298"/>
      <c r="HR72" s="298"/>
      <c r="HS72" s="298"/>
      <c r="HT72" s="298"/>
      <c r="HU72" s="298"/>
      <c r="HV72" s="298"/>
      <c r="HW72" s="298"/>
      <c r="HX72" s="298"/>
      <c r="HY72" s="298"/>
      <c r="HZ72" s="298"/>
      <c r="IA72" s="298"/>
      <c r="IB72" s="298"/>
      <c r="IC72" s="298"/>
      <c r="ID72" s="298"/>
      <c r="IE72" s="298"/>
      <c r="IF72" s="298"/>
      <c r="IG72" s="298"/>
      <c r="IH72" s="298"/>
      <c r="II72" s="298"/>
      <c r="IJ72" s="298"/>
      <c r="IK72" s="298"/>
      <c r="IL72" s="298"/>
      <c r="IM72" s="298"/>
      <c r="IN72" s="298"/>
      <c r="IO72" s="298"/>
      <c r="IP72" s="298"/>
      <c r="IQ72" s="298"/>
      <c r="IR72" s="298"/>
      <c r="IS72" s="298"/>
      <c r="IT72" s="298"/>
      <c r="IU72" s="298"/>
      <c r="IV72" s="298"/>
    </row>
    <row r="73" spans="1:256" ht="27.75" customHeight="1" thickBot="1" thickTop="1">
      <c r="A73" s="340" t="s">
        <v>239</v>
      </c>
      <c r="B73" s="341">
        <f>SUM(B58:B72)</f>
        <v>121909.83</v>
      </c>
      <c r="C73" s="317"/>
      <c r="D73" s="297"/>
      <c r="E73" s="297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298"/>
      <c r="AU73" s="298"/>
      <c r="AV73" s="298"/>
      <c r="AW73" s="298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98"/>
      <c r="BV73" s="298"/>
      <c r="BW73" s="298"/>
      <c r="BX73" s="298"/>
      <c r="BY73" s="298"/>
      <c r="BZ73" s="298"/>
      <c r="CA73" s="298"/>
      <c r="CB73" s="298"/>
      <c r="CC73" s="298"/>
      <c r="CD73" s="298"/>
      <c r="CE73" s="298"/>
      <c r="CF73" s="298"/>
      <c r="CG73" s="298"/>
      <c r="CH73" s="298"/>
      <c r="CI73" s="298"/>
      <c r="CJ73" s="298"/>
      <c r="CK73" s="298"/>
      <c r="CL73" s="298"/>
      <c r="CM73" s="298"/>
      <c r="CN73" s="298"/>
      <c r="CO73" s="298"/>
      <c r="CP73" s="298"/>
      <c r="CQ73" s="298"/>
      <c r="CR73" s="298"/>
      <c r="CS73" s="298"/>
      <c r="CT73" s="298"/>
      <c r="CU73" s="298"/>
      <c r="CV73" s="298"/>
      <c r="CW73" s="298"/>
      <c r="CX73" s="298"/>
      <c r="CY73" s="298"/>
      <c r="CZ73" s="298"/>
      <c r="DA73" s="298"/>
      <c r="DB73" s="298"/>
      <c r="DC73" s="298"/>
      <c r="DD73" s="298"/>
      <c r="DE73" s="298"/>
      <c r="DF73" s="298"/>
      <c r="DG73" s="298"/>
      <c r="DH73" s="298"/>
      <c r="DI73" s="298"/>
      <c r="DJ73" s="298"/>
      <c r="DK73" s="298"/>
      <c r="DL73" s="298"/>
      <c r="DM73" s="298"/>
      <c r="DN73" s="298"/>
      <c r="DO73" s="298"/>
      <c r="DP73" s="298"/>
      <c r="DQ73" s="298"/>
      <c r="DR73" s="298"/>
      <c r="DS73" s="298"/>
      <c r="DT73" s="298"/>
      <c r="DU73" s="298"/>
      <c r="DV73" s="298"/>
      <c r="DW73" s="298"/>
      <c r="DX73" s="298"/>
      <c r="DY73" s="298"/>
      <c r="DZ73" s="298"/>
      <c r="EA73" s="298"/>
      <c r="EB73" s="298"/>
      <c r="EC73" s="298"/>
      <c r="ED73" s="298"/>
      <c r="EE73" s="298"/>
      <c r="EF73" s="298"/>
      <c r="EG73" s="298"/>
      <c r="EH73" s="298"/>
      <c r="EI73" s="298"/>
      <c r="EJ73" s="298"/>
      <c r="EK73" s="298"/>
      <c r="EL73" s="298"/>
      <c r="EM73" s="298"/>
      <c r="EN73" s="298"/>
      <c r="EO73" s="298"/>
      <c r="EP73" s="298"/>
      <c r="EQ73" s="298"/>
      <c r="ER73" s="298"/>
      <c r="ES73" s="298"/>
      <c r="ET73" s="298"/>
      <c r="EU73" s="298"/>
      <c r="EV73" s="298"/>
      <c r="EW73" s="298"/>
      <c r="EX73" s="298"/>
      <c r="EY73" s="298"/>
      <c r="EZ73" s="298"/>
      <c r="FA73" s="298"/>
      <c r="FB73" s="298"/>
      <c r="FC73" s="298"/>
      <c r="FD73" s="298"/>
      <c r="FE73" s="298"/>
      <c r="FF73" s="298"/>
      <c r="FG73" s="298"/>
      <c r="FH73" s="298"/>
      <c r="FI73" s="298"/>
      <c r="FJ73" s="298"/>
      <c r="FK73" s="298"/>
      <c r="FL73" s="298"/>
      <c r="FM73" s="298"/>
      <c r="FN73" s="298"/>
      <c r="FO73" s="298"/>
      <c r="FP73" s="298"/>
      <c r="FQ73" s="298"/>
      <c r="FR73" s="298"/>
      <c r="FS73" s="298"/>
      <c r="FT73" s="298"/>
      <c r="FU73" s="298"/>
      <c r="FV73" s="298"/>
      <c r="FW73" s="298"/>
      <c r="FX73" s="298"/>
      <c r="FY73" s="298"/>
      <c r="FZ73" s="298"/>
      <c r="GA73" s="298"/>
      <c r="GB73" s="298"/>
      <c r="GC73" s="298"/>
      <c r="GD73" s="298"/>
      <c r="GE73" s="298"/>
      <c r="GF73" s="298"/>
      <c r="GG73" s="298"/>
      <c r="GH73" s="298"/>
      <c r="GI73" s="298"/>
      <c r="GJ73" s="298"/>
      <c r="GK73" s="298"/>
      <c r="GL73" s="298"/>
      <c r="GM73" s="298"/>
      <c r="GN73" s="298"/>
      <c r="GO73" s="298"/>
      <c r="GP73" s="298"/>
      <c r="GQ73" s="298"/>
      <c r="GR73" s="298"/>
      <c r="GS73" s="298"/>
      <c r="GT73" s="298"/>
      <c r="GU73" s="298"/>
      <c r="GV73" s="298"/>
      <c r="GW73" s="298"/>
      <c r="GX73" s="298"/>
      <c r="GY73" s="298"/>
      <c r="GZ73" s="298"/>
      <c r="HA73" s="298"/>
      <c r="HB73" s="298"/>
      <c r="HC73" s="298"/>
      <c r="HD73" s="298"/>
      <c r="HE73" s="298"/>
      <c r="HF73" s="298"/>
      <c r="HG73" s="298"/>
      <c r="HH73" s="298"/>
      <c r="HI73" s="298"/>
      <c r="HJ73" s="298"/>
      <c r="HK73" s="298"/>
      <c r="HL73" s="298"/>
      <c r="HM73" s="298"/>
      <c r="HN73" s="298"/>
      <c r="HO73" s="298"/>
      <c r="HP73" s="298"/>
      <c r="HQ73" s="298"/>
      <c r="HR73" s="298"/>
      <c r="HS73" s="298"/>
      <c r="HT73" s="298"/>
      <c r="HU73" s="298"/>
      <c r="HV73" s="298"/>
      <c r="HW73" s="298"/>
      <c r="HX73" s="298"/>
      <c r="HY73" s="298"/>
      <c r="HZ73" s="298"/>
      <c r="IA73" s="298"/>
      <c r="IB73" s="298"/>
      <c r="IC73" s="298"/>
      <c r="ID73" s="298"/>
      <c r="IE73" s="298"/>
      <c r="IF73" s="298"/>
      <c r="IG73" s="298"/>
      <c r="IH73" s="298"/>
      <c r="II73" s="298"/>
      <c r="IJ73" s="298"/>
      <c r="IK73" s="298"/>
      <c r="IL73" s="298"/>
      <c r="IM73" s="298"/>
      <c r="IN73" s="298"/>
      <c r="IO73" s="298"/>
      <c r="IP73" s="298"/>
      <c r="IQ73" s="298"/>
      <c r="IR73" s="298"/>
      <c r="IS73" s="298"/>
      <c r="IT73" s="298"/>
      <c r="IU73" s="298"/>
      <c r="IV73" s="298"/>
    </row>
    <row r="74" spans="1:256" ht="31.5" customHeight="1" thickBot="1" thickTop="1">
      <c r="A74" s="303" t="s">
        <v>314</v>
      </c>
      <c r="B74" s="347">
        <f>B55+B73</f>
        <v>5564791.890000001</v>
      </c>
      <c r="C74" s="317"/>
      <c r="D74" s="297"/>
      <c r="E74" s="297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8"/>
      <c r="AU74" s="298"/>
      <c r="AV74" s="298"/>
      <c r="AW74" s="298"/>
      <c r="AX74" s="298"/>
      <c r="AY74" s="298"/>
      <c r="AZ74" s="298"/>
      <c r="BA74" s="298"/>
      <c r="BB74" s="298"/>
      <c r="BC74" s="298"/>
      <c r="BD74" s="298"/>
      <c r="BE74" s="298"/>
      <c r="BF74" s="298"/>
      <c r="BG74" s="298"/>
      <c r="BH74" s="298"/>
      <c r="BI74" s="298"/>
      <c r="BJ74" s="298"/>
      <c r="BK74" s="298"/>
      <c r="BL74" s="298"/>
      <c r="BM74" s="298"/>
      <c r="BN74" s="298"/>
      <c r="BO74" s="298"/>
      <c r="BP74" s="298"/>
      <c r="BQ74" s="298"/>
      <c r="BR74" s="298"/>
      <c r="BS74" s="298"/>
      <c r="BT74" s="298"/>
      <c r="BU74" s="298"/>
      <c r="BV74" s="298"/>
      <c r="BW74" s="298"/>
      <c r="BX74" s="298"/>
      <c r="BY74" s="298"/>
      <c r="BZ74" s="298"/>
      <c r="CA74" s="298"/>
      <c r="CB74" s="298"/>
      <c r="CC74" s="298"/>
      <c r="CD74" s="298"/>
      <c r="CE74" s="298"/>
      <c r="CF74" s="298"/>
      <c r="CG74" s="298"/>
      <c r="CH74" s="298"/>
      <c r="CI74" s="298"/>
      <c r="CJ74" s="298"/>
      <c r="CK74" s="298"/>
      <c r="CL74" s="298"/>
      <c r="CM74" s="298"/>
      <c r="CN74" s="298"/>
      <c r="CO74" s="298"/>
      <c r="CP74" s="298"/>
      <c r="CQ74" s="298"/>
      <c r="CR74" s="298"/>
      <c r="CS74" s="298"/>
      <c r="CT74" s="298"/>
      <c r="CU74" s="298"/>
      <c r="CV74" s="298"/>
      <c r="CW74" s="298"/>
      <c r="CX74" s="298"/>
      <c r="CY74" s="298"/>
      <c r="CZ74" s="298"/>
      <c r="DA74" s="298"/>
      <c r="DB74" s="298"/>
      <c r="DC74" s="298"/>
      <c r="DD74" s="298"/>
      <c r="DE74" s="298"/>
      <c r="DF74" s="298"/>
      <c r="DG74" s="298"/>
      <c r="DH74" s="298"/>
      <c r="DI74" s="298"/>
      <c r="DJ74" s="298"/>
      <c r="DK74" s="298"/>
      <c r="DL74" s="298"/>
      <c r="DM74" s="298"/>
      <c r="DN74" s="298"/>
      <c r="DO74" s="298"/>
      <c r="DP74" s="298"/>
      <c r="DQ74" s="298"/>
      <c r="DR74" s="298"/>
      <c r="DS74" s="298"/>
      <c r="DT74" s="298"/>
      <c r="DU74" s="298"/>
      <c r="DV74" s="298"/>
      <c r="DW74" s="298"/>
      <c r="DX74" s="298"/>
      <c r="DY74" s="298"/>
      <c r="DZ74" s="298"/>
      <c r="EA74" s="298"/>
      <c r="EB74" s="298"/>
      <c r="EC74" s="298"/>
      <c r="ED74" s="298"/>
      <c r="EE74" s="298"/>
      <c r="EF74" s="298"/>
      <c r="EG74" s="298"/>
      <c r="EH74" s="298"/>
      <c r="EI74" s="298"/>
      <c r="EJ74" s="298"/>
      <c r="EK74" s="298"/>
      <c r="EL74" s="298"/>
      <c r="EM74" s="298"/>
      <c r="EN74" s="298"/>
      <c r="EO74" s="298"/>
      <c r="EP74" s="298"/>
      <c r="EQ74" s="298"/>
      <c r="ER74" s="298"/>
      <c r="ES74" s="298"/>
      <c r="ET74" s="298"/>
      <c r="EU74" s="298"/>
      <c r="EV74" s="298"/>
      <c r="EW74" s="298"/>
      <c r="EX74" s="298"/>
      <c r="EY74" s="298"/>
      <c r="EZ74" s="298"/>
      <c r="FA74" s="298"/>
      <c r="FB74" s="298"/>
      <c r="FC74" s="298"/>
      <c r="FD74" s="298"/>
      <c r="FE74" s="298"/>
      <c r="FF74" s="298"/>
      <c r="FG74" s="298"/>
      <c r="FH74" s="298"/>
      <c r="FI74" s="298"/>
      <c r="FJ74" s="298"/>
      <c r="FK74" s="298"/>
      <c r="FL74" s="298"/>
      <c r="FM74" s="298"/>
      <c r="FN74" s="298"/>
      <c r="FO74" s="298"/>
      <c r="FP74" s="298"/>
      <c r="FQ74" s="298"/>
      <c r="FR74" s="298"/>
      <c r="FS74" s="298"/>
      <c r="FT74" s="298"/>
      <c r="FU74" s="298"/>
      <c r="FV74" s="298"/>
      <c r="FW74" s="298"/>
      <c r="FX74" s="298"/>
      <c r="FY74" s="298"/>
      <c r="FZ74" s="298"/>
      <c r="GA74" s="298"/>
      <c r="GB74" s="298"/>
      <c r="GC74" s="298"/>
      <c r="GD74" s="298"/>
      <c r="GE74" s="298"/>
      <c r="GF74" s="298"/>
      <c r="GG74" s="298"/>
      <c r="GH74" s="298"/>
      <c r="GI74" s="298"/>
      <c r="GJ74" s="298"/>
      <c r="GK74" s="298"/>
      <c r="GL74" s="298"/>
      <c r="GM74" s="298"/>
      <c r="GN74" s="298"/>
      <c r="GO74" s="298"/>
      <c r="GP74" s="298"/>
      <c r="GQ74" s="298"/>
      <c r="GR74" s="298"/>
      <c r="GS74" s="298"/>
      <c r="GT74" s="298"/>
      <c r="GU74" s="298"/>
      <c r="GV74" s="298"/>
      <c r="GW74" s="298"/>
      <c r="GX74" s="298"/>
      <c r="GY74" s="298"/>
      <c r="GZ74" s="298"/>
      <c r="HA74" s="298"/>
      <c r="HB74" s="298"/>
      <c r="HC74" s="298"/>
      <c r="HD74" s="298"/>
      <c r="HE74" s="298"/>
      <c r="HF74" s="298"/>
      <c r="HG74" s="298"/>
      <c r="HH74" s="298"/>
      <c r="HI74" s="298"/>
      <c r="HJ74" s="298"/>
      <c r="HK74" s="298"/>
      <c r="HL74" s="298"/>
      <c r="HM74" s="298"/>
      <c r="HN74" s="298"/>
      <c r="HO74" s="298"/>
      <c r="HP74" s="298"/>
      <c r="HQ74" s="298"/>
      <c r="HR74" s="298"/>
      <c r="HS74" s="298"/>
      <c r="HT74" s="298"/>
      <c r="HU74" s="298"/>
      <c r="HV74" s="298"/>
      <c r="HW74" s="298"/>
      <c r="HX74" s="298"/>
      <c r="HY74" s="298"/>
      <c r="HZ74" s="298"/>
      <c r="IA74" s="298"/>
      <c r="IB74" s="298"/>
      <c r="IC74" s="298"/>
      <c r="ID74" s="298"/>
      <c r="IE74" s="298"/>
      <c r="IF74" s="298"/>
      <c r="IG74" s="298"/>
      <c r="IH74" s="298"/>
      <c r="II74" s="298"/>
      <c r="IJ74" s="298"/>
      <c r="IK74" s="298"/>
      <c r="IL74" s="298"/>
      <c r="IM74" s="298"/>
      <c r="IN74" s="298"/>
      <c r="IO74" s="298"/>
      <c r="IP74" s="298"/>
      <c r="IQ74" s="298"/>
      <c r="IR74" s="298"/>
      <c r="IS74" s="298"/>
      <c r="IT74" s="298"/>
      <c r="IU74" s="298"/>
      <c r="IV74" s="298"/>
    </row>
    <row r="75" spans="1:256" ht="21.75" customHeight="1" hidden="1">
      <c r="A75" s="319" t="s">
        <v>282</v>
      </c>
      <c r="B75" s="320">
        <f>B55+B74</f>
        <v>11007673.950000001</v>
      </c>
      <c r="C75" s="317"/>
      <c r="D75" s="297"/>
      <c r="E75" s="297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8"/>
      <c r="AS75" s="298"/>
      <c r="AT75" s="298"/>
      <c r="AU75" s="298"/>
      <c r="AV75" s="298"/>
      <c r="AW75" s="298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298"/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  <c r="BW75" s="298"/>
      <c r="BX75" s="298"/>
      <c r="BY75" s="298"/>
      <c r="BZ75" s="298"/>
      <c r="CA75" s="298"/>
      <c r="CB75" s="298"/>
      <c r="CC75" s="298"/>
      <c r="CD75" s="298"/>
      <c r="CE75" s="298"/>
      <c r="CF75" s="298"/>
      <c r="CG75" s="298"/>
      <c r="CH75" s="298"/>
      <c r="CI75" s="298"/>
      <c r="CJ75" s="298"/>
      <c r="CK75" s="298"/>
      <c r="CL75" s="298"/>
      <c r="CM75" s="298"/>
      <c r="CN75" s="298"/>
      <c r="CO75" s="298"/>
      <c r="CP75" s="298"/>
      <c r="CQ75" s="298"/>
      <c r="CR75" s="298"/>
      <c r="CS75" s="298"/>
      <c r="CT75" s="298"/>
      <c r="CU75" s="298"/>
      <c r="CV75" s="298"/>
      <c r="CW75" s="298"/>
      <c r="CX75" s="298"/>
      <c r="CY75" s="298"/>
      <c r="CZ75" s="298"/>
      <c r="DA75" s="298"/>
      <c r="DB75" s="298"/>
      <c r="DC75" s="298"/>
      <c r="DD75" s="298"/>
      <c r="DE75" s="298"/>
      <c r="DF75" s="298"/>
      <c r="DG75" s="298"/>
      <c r="DH75" s="298"/>
      <c r="DI75" s="298"/>
      <c r="DJ75" s="298"/>
      <c r="DK75" s="298"/>
      <c r="DL75" s="298"/>
      <c r="DM75" s="298"/>
      <c r="DN75" s="298"/>
      <c r="DO75" s="298"/>
      <c r="DP75" s="298"/>
      <c r="DQ75" s="298"/>
      <c r="DR75" s="298"/>
      <c r="DS75" s="298"/>
      <c r="DT75" s="298"/>
      <c r="DU75" s="298"/>
      <c r="DV75" s="298"/>
      <c r="DW75" s="298"/>
      <c r="DX75" s="298"/>
      <c r="DY75" s="298"/>
      <c r="DZ75" s="298"/>
      <c r="EA75" s="298"/>
      <c r="EB75" s="298"/>
      <c r="EC75" s="298"/>
      <c r="ED75" s="298"/>
      <c r="EE75" s="298"/>
      <c r="EF75" s="298"/>
      <c r="EG75" s="298"/>
      <c r="EH75" s="298"/>
      <c r="EI75" s="298"/>
      <c r="EJ75" s="298"/>
      <c r="EK75" s="298"/>
      <c r="EL75" s="298"/>
      <c r="EM75" s="298"/>
      <c r="EN75" s="298"/>
      <c r="EO75" s="298"/>
      <c r="EP75" s="298"/>
      <c r="EQ75" s="298"/>
      <c r="ER75" s="298"/>
      <c r="ES75" s="298"/>
      <c r="ET75" s="298"/>
      <c r="EU75" s="298"/>
      <c r="EV75" s="298"/>
      <c r="EW75" s="298"/>
      <c r="EX75" s="298"/>
      <c r="EY75" s="298"/>
      <c r="EZ75" s="298"/>
      <c r="FA75" s="298"/>
      <c r="FB75" s="298"/>
      <c r="FC75" s="298"/>
      <c r="FD75" s="298"/>
      <c r="FE75" s="298"/>
      <c r="FF75" s="298"/>
      <c r="FG75" s="298"/>
      <c r="FH75" s="298"/>
      <c r="FI75" s="298"/>
      <c r="FJ75" s="298"/>
      <c r="FK75" s="298"/>
      <c r="FL75" s="298"/>
      <c r="FM75" s="298"/>
      <c r="FN75" s="298"/>
      <c r="FO75" s="298"/>
      <c r="FP75" s="298"/>
      <c r="FQ75" s="298"/>
      <c r="FR75" s="298"/>
      <c r="FS75" s="298"/>
      <c r="FT75" s="298"/>
      <c r="FU75" s="298"/>
      <c r="FV75" s="298"/>
      <c r="FW75" s="298"/>
      <c r="FX75" s="298"/>
      <c r="FY75" s="298"/>
      <c r="FZ75" s="298"/>
      <c r="GA75" s="298"/>
      <c r="GB75" s="298"/>
      <c r="GC75" s="298"/>
      <c r="GD75" s="298"/>
      <c r="GE75" s="298"/>
      <c r="GF75" s="298"/>
      <c r="GG75" s="298"/>
      <c r="GH75" s="298"/>
      <c r="GI75" s="298"/>
      <c r="GJ75" s="298"/>
      <c r="GK75" s="298"/>
      <c r="GL75" s="298"/>
      <c r="GM75" s="298"/>
      <c r="GN75" s="298"/>
      <c r="GO75" s="298"/>
      <c r="GP75" s="298"/>
      <c r="GQ75" s="298"/>
      <c r="GR75" s="298"/>
      <c r="GS75" s="298"/>
      <c r="GT75" s="298"/>
      <c r="GU75" s="298"/>
      <c r="GV75" s="298"/>
      <c r="GW75" s="298"/>
      <c r="GX75" s="298"/>
      <c r="GY75" s="298"/>
      <c r="GZ75" s="298"/>
      <c r="HA75" s="298"/>
      <c r="HB75" s="298"/>
      <c r="HC75" s="298"/>
      <c r="HD75" s="298"/>
      <c r="HE75" s="298"/>
      <c r="HF75" s="298"/>
      <c r="HG75" s="298"/>
      <c r="HH75" s="298"/>
      <c r="HI75" s="298"/>
      <c r="HJ75" s="298"/>
      <c r="HK75" s="298"/>
      <c r="HL75" s="298"/>
      <c r="HM75" s="298"/>
      <c r="HN75" s="298"/>
      <c r="HO75" s="298"/>
      <c r="HP75" s="298"/>
      <c r="HQ75" s="298"/>
      <c r="HR75" s="298"/>
      <c r="HS75" s="298"/>
      <c r="HT75" s="298"/>
      <c r="HU75" s="298"/>
      <c r="HV75" s="298"/>
      <c r="HW75" s="298"/>
      <c r="HX75" s="298"/>
      <c r="HY75" s="298"/>
      <c r="HZ75" s="298"/>
      <c r="IA75" s="298"/>
      <c r="IB75" s="298"/>
      <c r="IC75" s="298"/>
      <c r="ID75" s="298"/>
      <c r="IE75" s="298"/>
      <c r="IF75" s="298"/>
      <c r="IG75" s="298"/>
      <c r="IH75" s="298"/>
      <c r="II75" s="298"/>
      <c r="IJ75" s="298"/>
      <c r="IK75" s="298"/>
      <c r="IL75" s="298"/>
      <c r="IM75" s="298"/>
      <c r="IN75" s="298"/>
      <c r="IO75" s="298"/>
      <c r="IP75" s="298"/>
      <c r="IQ75" s="298"/>
      <c r="IR75" s="298"/>
      <c r="IS75" s="298"/>
      <c r="IT75" s="298"/>
      <c r="IU75" s="298"/>
      <c r="IV75" s="298"/>
    </row>
    <row r="76" spans="1:256" ht="25.5" customHeight="1">
      <c r="A76" s="1649" t="s">
        <v>313</v>
      </c>
      <c r="B76" s="1650"/>
      <c r="C76" s="296"/>
      <c r="D76" s="297"/>
      <c r="E76" s="297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  <c r="BF76" s="298"/>
      <c r="BG76" s="298"/>
      <c r="BH76" s="298"/>
      <c r="BI76" s="298"/>
      <c r="BJ76" s="298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98"/>
      <c r="BV76" s="298"/>
      <c r="BW76" s="298"/>
      <c r="BX76" s="298"/>
      <c r="BY76" s="298"/>
      <c r="BZ76" s="298"/>
      <c r="CA76" s="298"/>
      <c r="CB76" s="298"/>
      <c r="CC76" s="298"/>
      <c r="CD76" s="298"/>
      <c r="CE76" s="298"/>
      <c r="CF76" s="298"/>
      <c r="CG76" s="298"/>
      <c r="CH76" s="298"/>
      <c r="CI76" s="298"/>
      <c r="CJ76" s="298"/>
      <c r="CK76" s="298"/>
      <c r="CL76" s="298"/>
      <c r="CM76" s="298"/>
      <c r="CN76" s="298"/>
      <c r="CO76" s="298"/>
      <c r="CP76" s="298"/>
      <c r="CQ76" s="298"/>
      <c r="CR76" s="298"/>
      <c r="CS76" s="298"/>
      <c r="CT76" s="298"/>
      <c r="CU76" s="298"/>
      <c r="CV76" s="298"/>
      <c r="CW76" s="298"/>
      <c r="CX76" s="298"/>
      <c r="CY76" s="298"/>
      <c r="CZ76" s="298"/>
      <c r="DA76" s="298"/>
      <c r="DB76" s="298"/>
      <c r="DC76" s="298"/>
      <c r="DD76" s="298"/>
      <c r="DE76" s="298"/>
      <c r="DF76" s="298"/>
      <c r="DG76" s="298"/>
      <c r="DH76" s="298"/>
      <c r="DI76" s="298"/>
      <c r="DJ76" s="298"/>
      <c r="DK76" s="298"/>
      <c r="DL76" s="298"/>
      <c r="DM76" s="298"/>
      <c r="DN76" s="298"/>
      <c r="DO76" s="298"/>
      <c r="DP76" s="298"/>
      <c r="DQ76" s="298"/>
      <c r="DR76" s="298"/>
      <c r="DS76" s="298"/>
      <c r="DT76" s="298"/>
      <c r="DU76" s="298"/>
      <c r="DV76" s="298"/>
      <c r="DW76" s="298"/>
      <c r="DX76" s="298"/>
      <c r="DY76" s="298"/>
      <c r="DZ76" s="298"/>
      <c r="EA76" s="298"/>
      <c r="EB76" s="298"/>
      <c r="EC76" s="298"/>
      <c r="ED76" s="298"/>
      <c r="EE76" s="298"/>
      <c r="EF76" s="298"/>
      <c r="EG76" s="298"/>
      <c r="EH76" s="298"/>
      <c r="EI76" s="298"/>
      <c r="EJ76" s="298"/>
      <c r="EK76" s="298"/>
      <c r="EL76" s="298"/>
      <c r="EM76" s="298"/>
      <c r="EN76" s="298"/>
      <c r="EO76" s="298"/>
      <c r="EP76" s="298"/>
      <c r="EQ76" s="298"/>
      <c r="ER76" s="298"/>
      <c r="ES76" s="298"/>
      <c r="ET76" s="298"/>
      <c r="EU76" s="298"/>
      <c r="EV76" s="298"/>
      <c r="EW76" s="298"/>
      <c r="EX76" s="298"/>
      <c r="EY76" s="298"/>
      <c r="EZ76" s="298"/>
      <c r="FA76" s="298"/>
      <c r="FB76" s="298"/>
      <c r="FC76" s="298"/>
      <c r="FD76" s="298"/>
      <c r="FE76" s="298"/>
      <c r="FF76" s="298"/>
      <c r="FG76" s="298"/>
      <c r="FH76" s="298"/>
      <c r="FI76" s="298"/>
      <c r="FJ76" s="298"/>
      <c r="FK76" s="298"/>
      <c r="FL76" s="298"/>
      <c r="FM76" s="298"/>
      <c r="FN76" s="298"/>
      <c r="FO76" s="298"/>
      <c r="FP76" s="298"/>
      <c r="FQ76" s="298"/>
      <c r="FR76" s="298"/>
      <c r="FS76" s="298"/>
      <c r="FT76" s="298"/>
      <c r="FU76" s="298"/>
      <c r="FV76" s="298"/>
      <c r="FW76" s="298"/>
      <c r="FX76" s="298"/>
      <c r="FY76" s="298"/>
      <c r="FZ76" s="298"/>
      <c r="GA76" s="298"/>
      <c r="GB76" s="298"/>
      <c r="GC76" s="298"/>
      <c r="GD76" s="298"/>
      <c r="GE76" s="298"/>
      <c r="GF76" s="298"/>
      <c r="GG76" s="298"/>
      <c r="GH76" s="298"/>
      <c r="GI76" s="298"/>
      <c r="GJ76" s="298"/>
      <c r="GK76" s="298"/>
      <c r="GL76" s="298"/>
      <c r="GM76" s="298"/>
      <c r="GN76" s="298"/>
      <c r="GO76" s="298"/>
      <c r="GP76" s="298"/>
      <c r="GQ76" s="298"/>
      <c r="GR76" s="298"/>
      <c r="GS76" s="298"/>
      <c r="GT76" s="298"/>
      <c r="GU76" s="298"/>
      <c r="GV76" s="298"/>
      <c r="GW76" s="298"/>
      <c r="GX76" s="298"/>
      <c r="GY76" s="298"/>
      <c r="GZ76" s="298"/>
      <c r="HA76" s="298"/>
      <c r="HB76" s="298"/>
      <c r="HC76" s="298"/>
      <c r="HD76" s="298"/>
      <c r="HE76" s="298"/>
      <c r="HF76" s="298"/>
      <c r="HG76" s="298"/>
      <c r="HH76" s="298"/>
      <c r="HI76" s="298"/>
      <c r="HJ76" s="298"/>
      <c r="HK76" s="298"/>
      <c r="HL76" s="298"/>
      <c r="HM76" s="298"/>
      <c r="HN76" s="298"/>
      <c r="HO76" s="298"/>
      <c r="HP76" s="298"/>
      <c r="HQ76" s="298"/>
      <c r="HR76" s="298"/>
      <c r="HS76" s="298"/>
      <c r="HT76" s="298"/>
      <c r="HU76" s="298"/>
      <c r="HV76" s="298"/>
      <c r="HW76" s="298"/>
      <c r="HX76" s="298"/>
      <c r="HY76" s="298"/>
      <c r="HZ76" s="298"/>
      <c r="IA76" s="298"/>
      <c r="IB76" s="298"/>
      <c r="IC76" s="298"/>
      <c r="ID76" s="298"/>
      <c r="IE76" s="298"/>
      <c r="IF76" s="298"/>
      <c r="IG76" s="298"/>
      <c r="IH76" s="298"/>
      <c r="II76" s="298"/>
      <c r="IJ76" s="298"/>
      <c r="IK76" s="298"/>
      <c r="IL76" s="298"/>
      <c r="IM76" s="298"/>
      <c r="IN76" s="298"/>
      <c r="IO76" s="298"/>
      <c r="IP76" s="298"/>
      <c r="IQ76" s="298"/>
      <c r="IR76" s="298"/>
      <c r="IS76" s="298"/>
      <c r="IT76" s="298"/>
      <c r="IU76" s="298"/>
      <c r="IV76" s="298"/>
    </row>
    <row r="77" spans="1:256" ht="21.75" customHeight="1">
      <c r="A77" s="344" t="s">
        <v>326</v>
      </c>
      <c r="B77" s="335">
        <v>-3600</v>
      </c>
      <c r="C77" s="304"/>
      <c r="D77" s="305"/>
      <c r="E77" s="297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  <c r="AX77" s="298"/>
      <c r="AY77" s="298"/>
      <c r="AZ77" s="298"/>
      <c r="BA77" s="298"/>
      <c r="BB77" s="298"/>
      <c r="BC77" s="298"/>
      <c r="BD77" s="298"/>
      <c r="BE77" s="298"/>
      <c r="BF77" s="298"/>
      <c r="BG77" s="298"/>
      <c r="BH77" s="298"/>
      <c r="BI77" s="298"/>
      <c r="BJ77" s="298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98"/>
      <c r="BW77" s="298"/>
      <c r="BX77" s="298"/>
      <c r="BY77" s="298"/>
      <c r="BZ77" s="298"/>
      <c r="CA77" s="298"/>
      <c r="CB77" s="298"/>
      <c r="CC77" s="298"/>
      <c r="CD77" s="298"/>
      <c r="CE77" s="298"/>
      <c r="CF77" s="298"/>
      <c r="CG77" s="298"/>
      <c r="CH77" s="298"/>
      <c r="CI77" s="298"/>
      <c r="CJ77" s="298"/>
      <c r="CK77" s="298"/>
      <c r="CL77" s="298"/>
      <c r="CM77" s="298"/>
      <c r="CN77" s="298"/>
      <c r="CO77" s="298"/>
      <c r="CP77" s="298"/>
      <c r="CQ77" s="298"/>
      <c r="CR77" s="298"/>
      <c r="CS77" s="298"/>
      <c r="CT77" s="298"/>
      <c r="CU77" s="298"/>
      <c r="CV77" s="298"/>
      <c r="CW77" s="298"/>
      <c r="CX77" s="298"/>
      <c r="CY77" s="298"/>
      <c r="CZ77" s="298"/>
      <c r="DA77" s="298"/>
      <c r="DB77" s="298"/>
      <c r="DC77" s="298"/>
      <c r="DD77" s="298"/>
      <c r="DE77" s="298"/>
      <c r="DF77" s="298"/>
      <c r="DG77" s="298"/>
      <c r="DH77" s="298"/>
      <c r="DI77" s="298"/>
      <c r="DJ77" s="298"/>
      <c r="DK77" s="298"/>
      <c r="DL77" s="298"/>
      <c r="DM77" s="298"/>
      <c r="DN77" s="298"/>
      <c r="DO77" s="298"/>
      <c r="DP77" s="298"/>
      <c r="DQ77" s="298"/>
      <c r="DR77" s="298"/>
      <c r="DS77" s="298"/>
      <c r="DT77" s="298"/>
      <c r="DU77" s="298"/>
      <c r="DV77" s="298"/>
      <c r="DW77" s="298"/>
      <c r="DX77" s="298"/>
      <c r="DY77" s="298"/>
      <c r="DZ77" s="298"/>
      <c r="EA77" s="298"/>
      <c r="EB77" s="298"/>
      <c r="EC77" s="298"/>
      <c r="ED77" s="298"/>
      <c r="EE77" s="298"/>
      <c r="EF77" s="298"/>
      <c r="EG77" s="298"/>
      <c r="EH77" s="298"/>
      <c r="EI77" s="298"/>
      <c r="EJ77" s="298"/>
      <c r="EK77" s="298"/>
      <c r="EL77" s="298"/>
      <c r="EM77" s="298"/>
      <c r="EN77" s="298"/>
      <c r="EO77" s="298"/>
      <c r="EP77" s="298"/>
      <c r="EQ77" s="298"/>
      <c r="ER77" s="298"/>
      <c r="ES77" s="298"/>
      <c r="ET77" s="298"/>
      <c r="EU77" s="298"/>
      <c r="EV77" s="298"/>
      <c r="EW77" s="298"/>
      <c r="EX77" s="298"/>
      <c r="EY77" s="298"/>
      <c r="EZ77" s="298"/>
      <c r="FA77" s="298"/>
      <c r="FB77" s="298"/>
      <c r="FC77" s="298"/>
      <c r="FD77" s="298"/>
      <c r="FE77" s="298"/>
      <c r="FF77" s="298"/>
      <c r="FG77" s="298"/>
      <c r="FH77" s="298"/>
      <c r="FI77" s="298"/>
      <c r="FJ77" s="298"/>
      <c r="FK77" s="298"/>
      <c r="FL77" s="298"/>
      <c r="FM77" s="298"/>
      <c r="FN77" s="298"/>
      <c r="FO77" s="298"/>
      <c r="FP77" s="298"/>
      <c r="FQ77" s="298"/>
      <c r="FR77" s="298"/>
      <c r="FS77" s="298"/>
      <c r="FT77" s="298"/>
      <c r="FU77" s="298"/>
      <c r="FV77" s="298"/>
      <c r="FW77" s="298"/>
      <c r="FX77" s="298"/>
      <c r="FY77" s="298"/>
      <c r="FZ77" s="298"/>
      <c r="GA77" s="298"/>
      <c r="GB77" s="298"/>
      <c r="GC77" s="298"/>
      <c r="GD77" s="298"/>
      <c r="GE77" s="298"/>
      <c r="GF77" s="298"/>
      <c r="GG77" s="298"/>
      <c r="GH77" s="298"/>
      <c r="GI77" s="298"/>
      <c r="GJ77" s="298"/>
      <c r="GK77" s="298"/>
      <c r="GL77" s="298"/>
      <c r="GM77" s="298"/>
      <c r="GN77" s="298"/>
      <c r="GO77" s="298"/>
      <c r="GP77" s="298"/>
      <c r="GQ77" s="298"/>
      <c r="GR77" s="298"/>
      <c r="GS77" s="298"/>
      <c r="GT77" s="298"/>
      <c r="GU77" s="298"/>
      <c r="GV77" s="298"/>
      <c r="GW77" s="298"/>
      <c r="GX77" s="298"/>
      <c r="GY77" s="298"/>
      <c r="GZ77" s="298"/>
      <c r="HA77" s="298"/>
      <c r="HB77" s="298"/>
      <c r="HC77" s="298"/>
      <c r="HD77" s="298"/>
      <c r="HE77" s="298"/>
      <c r="HF77" s="298"/>
      <c r="HG77" s="298"/>
      <c r="HH77" s="298"/>
      <c r="HI77" s="298"/>
      <c r="HJ77" s="298"/>
      <c r="HK77" s="298"/>
      <c r="HL77" s="298"/>
      <c r="HM77" s="298"/>
      <c r="HN77" s="298"/>
      <c r="HO77" s="298"/>
      <c r="HP77" s="298"/>
      <c r="HQ77" s="298"/>
      <c r="HR77" s="298"/>
      <c r="HS77" s="298"/>
      <c r="HT77" s="298"/>
      <c r="HU77" s="298"/>
      <c r="HV77" s="298"/>
      <c r="HW77" s="298"/>
      <c r="HX77" s="298"/>
      <c r="HY77" s="298"/>
      <c r="HZ77" s="298"/>
      <c r="IA77" s="298"/>
      <c r="IB77" s="298"/>
      <c r="IC77" s="298"/>
      <c r="ID77" s="298"/>
      <c r="IE77" s="298"/>
      <c r="IF77" s="298"/>
      <c r="IG77" s="298"/>
      <c r="IH77" s="298"/>
      <c r="II77" s="298"/>
      <c r="IJ77" s="298"/>
      <c r="IK77" s="298"/>
      <c r="IL77" s="298"/>
      <c r="IM77" s="298"/>
      <c r="IN77" s="298"/>
      <c r="IO77" s="298"/>
      <c r="IP77" s="298"/>
      <c r="IQ77" s="298"/>
      <c r="IR77" s="298"/>
      <c r="IS77" s="298"/>
      <c r="IT77" s="298"/>
      <c r="IU77" s="298"/>
      <c r="IV77" s="298"/>
    </row>
    <row r="78" spans="1:256" ht="22.5" customHeight="1">
      <c r="A78" s="301" t="s">
        <v>711</v>
      </c>
      <c r="B78" s="295">
        <v>-434569.34</v>
      </c>
      <c r="C78" s="296"/>
      <c r="D78" s="297"/>
      <c r="E78" s="305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6"/>
      <c r="AT78" s="306"/>
      <c r="AU78" s="306"/>
      <c r="AV78" s="306"/>
      <c r="AW78" s="306"/>
      <c r="AX78" s="306"/>
      <c r="AY78" s="306"/>
      <c r="AZ78" s="306"/>
      <c r="BA78" s="306"/>
      <c r="BB78" s="306"/>
      <c r="BC78" s="306"/>
      <c r="BD78" s="306"/>
      <c r="BE78" s="306"/>
      <c r="BF78" s="306"/>
      <c r="BG78" s="306"/>
      <c r="BH78" s="306"/>
      <c r="BI78" s="306"/>
      <c r="BJ78" s="306"/>
      <c r="BK78" s="306"/>
      <c r="BL78" s="306"/>
      <c r="BM78" s="306"/>
      <c r="BN78" s="306"/>
      <c r="BO78" s="306"/>
      <c r="BP78" s="306"/>
      <c r="BQ78" s="306"/>
      <c r="BR78" s="306"/>
      <c r="BS78" s="306"/>
      <c r="BT78" s="306"/>
      <c r="BU78" s="306"/>
      <c r="BV78" s="306"/>
      <c r="BW78" s="306"/>
      <c r="BX78" s="306"/>
      <c r="BY78" s="306"/>
      <c r="BZ78" s="306"/>
      <c r="CA78" s="306"/>
      <c r="CB78" s="306"/>
      <c r="CC78" s="306"/>
      <c r="CD78" s="306"/>
      <c r="CE78" s="306"/>
      <c r="CF78" s="306"/>
      <c r="CG78" s="306"/>
      <c r="CH78" s="306"/>
      <c r="CI78" s="306"/>
      <c r="CJ78" s="306"/>
      <c r="CK78" s="306"/>
      <c r="CL78" s="306"/>
      <c r="CM78" s="306"/>
      <c r="CN78" s="306"/>
      <c r="CO78" s="306"/>
      <c r="CP78" s="306"/>
      <c r="CQ78" s="306"/>
      <c r="CR78" s="306"/>
      <c r="CS78" s="306"/>
      <c r="CT78" s="306"/>
      <c r="CU78" s="306"/>
      <c r="CV78" s="306"/>
      <c r="CW78" s="306"/>
      <c r="CX78" s="306"/>
      <c r="CY78" s="306"/>
      <c r="CZ78" s="306"/>
      <c r="DA78" s="306"/>
      <c r="DB78" s="306"/>
      <c r="DC78" s="306"/>
      <c r="DD78" s="306"/>
      <c r="DE78" s="306"/>
      <c r="DF78" s="306"/>
      <c r="DG78" s="306"/>
      <c r="DH78" s="306"/>
      <c r="DI78" s="306"/>
      <c r="DJ78" s="306"/>
      <c r="DK78" s="306"/>
      <c r="DL78" s="306"/>
      <c r="DM78" s="306"/>
      <c r="DN78" s="306"/>
      <c r="DO78" s="306"/>
      <c r="DP78" s="306"/>
      <c r="DQ78" s="306"/>
      <c r="DR78" s="306"/>
      <c r="DS78" s="306"/>
      <c r="DT78" s="306"/>
      <c r="DU78" s="306"/>
      <c r="DV78" s="306"/>
      <c r="DW78" s="306"/>
      <c r="DX78" s="306"/>
      <c r="DY78" s="306"/>
      <c r="DZ78" s="306"/>
      <c r="EA78" s="306"/>
      <c r="EB78" s="306"/>
      <c r="EC78" s="306"/>
      <c r="ED78" s="306"/>
      <c r="EE78" s="306"/>
      <c r="EF78" s="306"/>
      <c r="EG78" s="306"/>
      <c r="EH78" s="306"/>
      <c r="EI78" s="306"/>
      <c r="EJ78" s="306"/>
      <c r="EK78" s="306"/>
      <c r="EL78" s="306"/>
      <c r="EM78" s="306"/>
      <c r="EN78" s="306"/>
      <c r="EO78" s="306"/>
      <c r="EP78" s="306"/>
      <c r="EQ78" s="306"/>
      <c r="ER78" s="306"/>
      <c r="ES78" s="306"/>
      <c r="ET78" s="306"/>
      <c r="EU78" s="306"/>
      <c r="EV78" s="306"/>
      <c r="EW78" s="306"/>
      <c r="EX78" s="306"/>
      <c r="EY78" s="306"/>
      <c r="EZ78" s="306"/>
      <c r="FA78" s="306"/>
      <c r="FB78" s="306"/>
      <c r="FC78" s="306"/>
      <c r="FD78" s="306"/>
      <c r="FE78" s="306"/>
      <c r="FF78" s="306"/>
      <c r="FG78" s="306"/>
      <c r="FH78" s="306"/>
      <c r="FI78" s="306"/>
      <c r="FJ78" s="306"/>
      <c r="FK78" s="306"/>
      <c r="FL78" s="306"/>
      <c r="FM78" s="306"/>
      <c r="FN78" s="306"/>
      <c r="FO78" s="306"/>
      <c r="FP78" s="306"/>
      <c r="FQ78" s="306"/>
      <c r="FR78" s="306"/>
      <c r="FS78" s="306"/>
      <c r="FT78" s="306"/>
      <c r="FU78" s="306"/>
      <c r="FV78" s="306"/>
      <c r="FW78" s="306"/>
      <c r="FX78" s="306"/>
      <c r="FY78" s="306"/>
      <c r="FZ78" s="306"/>
      <c r="GA78" s="306"/>
      <c r="GB78" s="306"/>
      <c r="GC78" s="306"/>
      <c r="GD78" s="306"/>
      <c r="GE78" s="306"/>
      <c r="GF78" s="306"/>
      <c r="GG78" s="306"/>
      <c r="GH78" s="306"/>
      <c r="GI78" s="306"/>
      <c r="GJ78" s="306"/>
      <c r="GK78" s="306"/>
      <c r="GL78" s="306"/>
      <c r="GM78" s="306"/>
      <c r="GN78" s="306"/>
      <c r="GO78" s="306"/>
      <c r="GP78" s="306"/>
      <c r="GQ78" s="306"/>
      <c r="GR78" s="306"/>
      <c r="GS78" s="306"/>
      <c r="GT78" s="306"/>
      <c r="GU78" s="306"/>
      <c r="GV78" s="306"/>
      <c r="GW78" s="306"/>
      <c r="GX78" s="306"/>
      <c r="GY78" s="306"/>
      <c r="GZ78" s="306"/>
      <c r="HA78" s="306"/>
      <c r="HB78" s="306"/>
      <c r="HC78" s="306"/>
      <c r="HD78" s="306"/>
      <c r="HE78" s="306"/>
      <c r="HF78" s="306"/>
      <c r="HG78" s="306"/>
      <c r="HH78" s="306"/>
      <c r="HI78" s="306"/>
      <c r="HJ78" s="306"/>
      <c r="HK78" s="306"/>
      <c r="HL78" s="306"/>
      <c r="HM78" s="306"/>
      <c r="HN78" s="306"/>
      <c r="HO78" s="306"/>
      <c r="HP78" s="306"/>
      <c r="HQ78" s="306"/>
      <c r="HR78" s="306"/>
      <c r="HS78" s="306"/>
      <c r="HT78" s="306"/>
      <c r="HU78" s="306"/>
      <c r="HV78" s="306"/>
      <c r="HW78" s="306"/>
      <c r="HX78" s="306"/>
      <c r="HY78" s="306"/>
      <c r="HZ78" s="306"/>
      <c r="IA78" s="306"/>
      <c r="IB78" s="306"/>
      <c r="IC78" s="306"/>
      <c r="ID78" s="306"/>
      <c r="IE78" s="306"/>
      <c r="IF78" s="306"/>
      <c r="IG78" s="306"/>
      <c r="IH78" s="306"/>
      <c r="II78" s="306"/>
      <c r="IJ78" s="306"/>
      <c r="IK78" s="306"/>
      <c r="IL78" s="306"/>
      <c r="IM78" s="306"/>
      <c r="IN78" s="306"/>
      <c r="IO78" s="306"/>
      <c r="IP78" s="306"/>
      <c r="IQ78" s="306"/>
      <c r="IR78" s="306"/>
      <c r="IS78" s="306"/>
      <c r="IT78" s="306"/>
      <c r="IU78" s="306"/>
      <c r="IV78" s="306"/>
    </row>
    <row r="79" spans="1:256" ht="30.75" customHeight="1">
      <c r="A79" s="310" t="s">
        <v>328</v>
      </c>
      <c r="B79" s="313">
        <v>57317</v>
      </c>
      <c r="C79" s="296"/>
      <c r="D79" s="297"/>
      <c r="E79" s="297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298"/>
      <c r="AY79" s="298"/>
      <c r="AZ79" s="298"/>
      <c r="BA79" s="298"/>
      <c r="BB79" s="298"/>
      <c r="BC79" s="298"/>
      <c r="BD79" s="298"/>
      <c r="BE79" s="298"/>
      <c r="BF79" s="298"/>
      <c r="BG79" s="298"/>
      <c r="BH79" s="298"/>
      <c r="BI79" s="298"/>
      <c r="BJ79" s="298"/>
      <c r="BK79" s="298"/>
      <c r="BL79" s="298"/>
      <c r="BM79" s="298"/>
      <c r="BN79" s="298"/>
      <c r="BO79" s="298"/>
      <c r="BP79" s="298"/>
      <c r="BQ79" s="298"/>
      <c r="BR79" s="298"/>
      <c r="BS79" s="298"/>
      <c r="BT79" s="298"/>
      <c r="BU79" s="298"/>
      <c r="BV79" s="298"/>
      <c r="BW79" s="298"/>
      <c r="BX79" s="298"/>
      <c r="BY79" s="298"/>
      <c r="BZ79" s="298"/>
      <c r="CA79" s="298"/>
      <c r="CB79" s="298"/>
      <c r="CC79" s="298"/>
      <c r="CD79" s="298"/>
      <c r="CE79" s="298"/>
      <c r="CF79" s="298"/>
      <c r="CG79" s="298"/>
      <c r="CH79" s="298"/>
      <c r="CI79" s="298"/>
      <c r="CJ79" s="298"/>
      <c r="CK79" s="298"/>
      <c r="CL79" s="298"/>
      <c r="CM79" s="298"/>
      <c r="CN79" s="298"/>
      <c r="CO79" s="298"/>
      <c r="CP79" s="298"/>
      <c r="CQ79" s="298"/>
      <c r="CR79" s="298"/>
      <c r="CS79" s="298"/>
      <c r="CT79" s="298"/>
      <c r="CU79" s="298"/>
      <c r="CV79" s="298"/>
      <c r="CW79" s="298"/>
      <c r="CX79" s="298"/>
      <c r="CY79" s="298"/>
      <c r="CZ79" s="298"/>
      <c r="DA79" s="298"/>
      <c r="DB79" s="298"/>
      <c r="DC79" s="298"/>
      <c r="DD79" s="298"/>
      <c r="DE79" s="298"/>
      <c r="DF79" s="298"/>
      <c r="DG79" s="298"/>
      <c r="DH79" s="298"/>
      <c r="DI79" s="298"/>
      <c r="DJ79" s="298"/>
      <c r="DK79" s="298"/>
      <c r="DL79" s="298"/>
      <c r="DM79" s="298"/>
      <c r="DN79" s="298"/>
      <c r="DO79" s="298"/>
      <c r="DP79" s="298"/>
      <c r="DQ79" s="298"/>
      <c r="DR79" s="298"/>
      <c r="DS79" s="298"/>
      <c r="DT79" s="298"/>
      <c r="DU79" s="298"/>
      <c r="DV79" s="298"/>
      <c r="DW79" s="298"/>
      <c r="DX79" s="298"/>
      <c r="DY79" s="298"/>
      <c r="DZ79" s="298"/>
      <c r="EA79" s="298"/>
      <c r="EB79" s="298"/>
      <c r="EC79" s="298"/>
      <c r="ED79" s="298"/>
      <c r="EE79" s="298"/>
      <c r="EF79" s="298"/>
      <c r="EG79" s="298"/>
      <c r="EH79" s="298"/>
      <c r="EI79" s="298"/>
      <c r="EJ79" s="298"/>
      <c r="EK79" s="298"/>
      <c r="EL79" s="298"/>
      <c r="EM79" s="298"/>
      <c r="EN79" s="298"/>
      <c r="EO79" s="298"/>
      <c r="EP79" s="298"/>
      <c r="EQ79" s="298"/>
      <c r="ER79" s="298"/>
      <c r="ES79" s="298"/>
      <c r="ET79" s="298"/>
      <c r="EU79" s="298"/>
      <c r="EV79" s="298"/>
      <c r="EW79" s="298"/>
      <c r="EX79" s="298"/>
      <c r="EY79" s="298"/>
      <c r="EZ79" s="298"/>
      <c r="FA79" s="298"/>
      <c r="FB79" s="298"/>
      <c r="FC79" s="298"/>
      <c r="FD79" s="298"/>
      <c r="FE79" s="298"/>
      <c r="FF79" s="298"/>
      <c r="FG79" s="298"/>
      <c r="FH79" s="298"/>
      <c r="FI79" s="298"/>
      <c r="FJ79" s="298"/>
      <c r="FK79" s="298"/>
      <c r="FL79" s="298"/>
      <c r="FM79" s="298"/>
      <c r="FN79" s="298"/>
      <c r="FO79" s="298"/>
      <c r="FP79" s="298"/>
      <c r="FQ79" s="298"/>
      <c r="FR79" s="298"/>
      <c r="FS79" s="298"/>
      <c r="FT79" s="298"/>
      <c r="FU79" s="298"/>
      <c r="FV79" s="298"/>
      <c r="FW79" s="298"/>
      <c r="FX79" s="298"/>
      <c r="FY79" s="298"/>
      <c r="FZ79" s="298"/>
      <c r="GA79" s="298"/>
      <c r="GB79" s="298"/>
      <c r="GC79" s="298"/>
      <c r="GD79" s="298"/>
      <c r="GE79" s="298"/>
      <c r="GF79" s="298"/>
      <c r="GG79" s="298"/>
      <c r="GH79" s="298"/>
      <c r="GI79" s="298"/>
      <c r="GJ79" s="298"/>
      <c r="GK79" s="298"/>
      <c r="GL79" s="298"/>
      <c r="GM79" s="298"/>
      <c r="GN79" s="298"/>
      <c r="GO79" s="298"/>
      <c r="GP79" s="298"/>
      <c r="GQ79" s="298"/>
      <c r="GR79" s="298"/>
      <c r="GS79" s="298"/>
      <c r="GT79" s="298"/>
      <c r="GU79" s="298"/>
      <c r="GV79" s="298"/>
      <c r="GW79" s="298"/>
      <c r="GX79" s="298"/>
      <c r="GY79" s="298"/>
      <c r="GZ79" s="298"/>
      <c r="HA79" s="298"/>
      <c r="HB79" s="298"/>
      <c r="HC79" s="298"/>
      <c r="HD79" s="298"/>
      <c r="HE79" s="298"/>
      <c r="HF79" s="298"/>
      <c r="HG79" s="298"/>
      <c r="HH79" s="298"/>
      <c r="HI79" s="298"/>
      <c r="HJ79" s="298"/>
      <c r="HK79" s="298"/>
      <c r="HL79" s="298"/>
      <c r="HM79" s="298"/>
      <c r="HN79" s="298"/>
      <c r="HO79" s="298"/>
      <c r="HP79" s="298"/>
      <c r="HQ79" s="298"/>
      <c r="HR79" s="298"/>
      <c r="HS79" s="298"/>
      <c r="HT79" s="298"/>
      <c r="HU79" s="298"/>
      <c r="HV79" s="298"/>
      <c r="HW79" s="298"/>
      <c r="HX79" s="298"/>
      <c r="HY79" s="298"/>
      <c r="HZ79" s="298"/>
      <c r="IA79" s="298"/>
      <c r="IB79" s="298"/>
      <c r="IC79" s="298"/>
      <c r="ID79" s="298"/>
      <c r="IE79" s="298"/>
      <c r="IF79" s="298"/>
      <c r="IG79" s="298"/>
      <c r="IH79" s="298"/>
      <c r="II79" s="298"/>
      <c r="IJ79" s="298"/>
      <c r="IK79" s="298"/>
      <c r="IL79" s="298"/>
      <c r="IM79" s="298"/>
      <c r="IN79" s="298"/>
      <c r="IO79" s="298"/>
      <c r="IP79" s="298"/>
      <c r="IQ79" s="298"/>
      <c r="IR79" s="298"/>
      <c r="IS79" s="298"/>
      <c r="IT79" s="298"/>
      <c r="IU79" s="298"/>
      <c r="IV79" s="298"/>
    </row>
    <row r="80" spans="1:256" ht="30.75" customHeight="1">
      <c r="A80" s="350" t="s">
        <v>327</v>
      </c>
      <c r="B80" s="302">
        <v>-209.35</v>
      </c>
      <c r="C80" s="296"/>
      <c r="D80" s="297"/>
      <c r="E80" s="297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  <c r="AX80" s="298"/>
      <c r="AY80" s="298"/>
      <c r="AZ80" s="298"/>
      <c r="BA80" s="298"/>
      <c r="BB80" s="298"/>
      <c r="BC80" s="298"/>
      <c r="BD80" s="298"/>
      <c r="BE80" s="298"/>
      <c r="BF80" s="298"/>
      <c r="BG80" s="298"/>
      <c r="BH80" s="298"/>
      <c r="BI80" s="298"/>
      <c r="BJ80" s="298"/>
      <c r="BK80" s="298"/>
      <c r="BL80" s="298"/>
      <c r="BM80" s="298"/>
      <c r="BN80" s="298"/>
      <c r="BO80" s="298"/>
      <c r="BP80" s="298"/>
      <c r="BQ80" s="298"/>
      <c r="BR80" s="298"/>
      <c r="BS80" s="298"/>
      <c r="BT80" s="298"/>
      <c r="BU80" s="298"/>
      <c r="BV80" s="298"/>
      <c r="BW80" s="298"/>
      <c r="BX80" s="298"/>
      <c r="BY80" s="298"/>
      <c r="BZ80" s="298"/>
      <c r="CA80" s="298"/>
      <c r="CB80" s="298"/>
      <c r="CC80" s="298"/>
      <c r="CD80" s="298"/>
      <c r="CE80" s="298"/>
      <c r="CF80" s="298"/>
      <c r="CG80" s="298"/>
      <c r="CH80" s="298"/>
      <c r="CI80" s="298"/>
      <c r="CJ80" s="298"/>
      <c r="CK80" s="298"/>
      <c r="CL80" s="298"/>
      <c r="CM80" s="298"/>
      <c r="CN80" s="298"/>
      <c r="CO80" s="298"/>
      <c r="CP80" s="298"/>
      <c r="CQ80" s="298"/>
      <c r="CR80" s="298"/>
      <c r="CS80" s="298"/>
      <c r="CT80" s="298"/>
      <c r="CU80" s="298"/>
      <c r="CV80" s="298"/>
      <c r="CW80" s="298"/>
      <c r="CX80" s="298"/>
      <c r="CY80" s="298"/>
      <c r="CZ80" s="298"/>
      <c r="DA80" s="298"/>
      <c r="DB80" s="298"/>
      <c r="DC80" s="298"/>
      <c r="DD80" s="298"/>
      <c r="DE80" s="298"/>
      <c r="DF80" s="298"/>
      <c r="DG80" s="298"/>
      <c r="DH80" s="298"/>
      <c r="DI80" s="298"/>
      <c r="DJ80" s="298"/>
      <c r="DK80" s="298"/>
      <c r="DL80" s="298"/>
      <c r="DM80" s="298"/>
      <c r="DN80" s="298"/>
      <c r="DO80" s="298"/>
      <c r="DP80" s="298"/>
      <c r="DQ80" s="298"/>
      <c r="DR80" s="298"/>
      <c r="DS80" s="298"/>
      <c r="DT80" s="298"/>
      <c r="DU80" s="298"/>
      <c r="DV80" s="298"/>
      <c r="DW80" s="298"/>
      <c r="DX80" s="298"/>
      <c r="DY80" s="298"/>
      <c r="DZ80" s="298"/>
      <c r="EA80" s="298"/>
      <c r="EB80" s="298"/>
      <c r="EC80" s="298"/>
      <c r="ED80" s="298"/>
      <c r="EE80" s="298"/>
      <c r="EF80" s="298"/>
      <c r="EG80" s="298"/>
      <c r="EH80" s="298"/>
      <c r="EI80" s="298"/>
      <c r="EJ80" s="298"/>
      <c r="EK80" s="298"/>
      <c r="EL80" s="298"/>
      <c r="EM80" s="298"/>
      <c r="EN80" s="298"/>
      <c r="EO80" s="298"/>
      <c r="EP80" s="298"/>
      <c r="EQ80" s="298"/>
      <c r="ER80" s="298"/>
      <c r="ES80" s="298"/>
      <c r="ET80" s="298"/>
      <c r="EU80" s="298"/>
      <c r="EV80" s="298"/>
      <c r="EW80" s="298"/>
      <c r="EX80" s="298"/>
      <c r="EY80" s="298"/>
      <c r="EZ80" s="298"/>
      <c r="FA80" s="298"/>
      <c r="FB80" s="298"/>
      <c r="FC80" s="298"/>
      <c r="FD80" s="298"/>
      <c r="FE80" s="298"/>
      <c r="FF80" s="298"/>
      <c r="FG80" s="298"/>
      <c r="FH80" s="298"/>
      <c r="FI80" s="298"/>
      <c r="FJ80" s="298"/>
      <c r="FK80" s="298"/>
      <c r="FL80" s="298"/>
      <c r="FM80" s="298"/>
      <c r="FN80" s="298"/>
      <c r="FO80" s="298"/>
      <c r="FP80" s="298"/>
      <c r="FQ80" s="298"/>
      <c r="FR80" s="298"/>
      <c r="FS80" s="298"/>
      <c r="FT80" s="298"/>
      <c r="FU80" s="298"/>
      <c r="FV80" s="298"/>
      <c r="FW80" s="298"/>
      <c r="FX80" s="298"/>
      <c r="FY80" s="298"/>
      <c r="FZ80" s="298"/>
      <c r="GA80" s="298"/>
      <c r="GB80" s="298"/>
      <c r="GC80" s="298"/>
      <c r="GD80" s="298"/>
      <c r="GE80" s="298"/>
      <c r="GF80" s="298"/>
      <c r="GG80" s="298"/>
      <c r="GH80" s="298"/>
      <c r="GI80" s="298"/>
      <c r="GJ80" s="298"/>
      <c r="GK80" s="298"/>
      <c r="GL80" s="298"/>
      <c r="GM80" s="298"/>
      <c r="GN80" s="298"/>
      <c r="GO80" s="298"/>
      <c r="GP80" s="298"/>
      <c r="GQ80" s="298"/>
      <c r="GR80" s="298"/>
      <c r="GS80" s="298"/>
      <c r="GT80" s="298"/>
      <c r="GU80" s="298"/>
      <c r="GV80" s="298"/>
      <c r="GW80" s="298"/>
      <c r="GX80" s="298"/>
      <c r="GY80" s="298"/>
      <c r="GZ80" s="298"/>
      <c r="HA80" s="298"/>
      <c r="HB80" s="298"/>
      <c r="HC80" s="298"/>
      <c r="HD80" s="298"/>
      <c r="HE80" s="298"/>
      <c r="HF80" s="298"/>
      <c r="HG80" s="298"/>
      <c r="HH80" s="298"/>
      <c r="HI80" s="298"/>
      <c r="HJ80" s="298"/>
      <c r="HK80" s="298"/>
      <c r="HL80" s="298"/>
      <c r="HM80" s="298"/>
      <c r="HN80" s="298"/>
      <c r="HO80" s="298"/>
      <c r="HP80" s="298"/>
      <c r="HQ80" s="298"/>
      <c r="HR80" s="298"/>
      <c r="HS80" s="298"/>
      <c r="HT80" s="298"/>
      <c r="HU80" s="298"/>
      <c r="HV80" s="298"/>
      <c r="HW80" s="298"/>
      <c r="HX80" s="298"/>
      <c r="HY80" s="298"/>
      <c r="HZ80" s="298"/>
      <c r="IA80" s="298"/>
      <c r="IB80" s="298"/>
      <c r="IC80" s="298"/>
      <c r="ID80" s="298"/>
      <c r="IE80" s="298"/>
      <c r="IF80" s="298"/>
      <c r="IG80" s="298"/>
      <c r="IH80" s="298"/>
      <c r="II80" s="298"/>
      <c r="IJ80" s="298"/>
      <c r="IK80" s="298"/>
      <c r="IL80" s="298"/>
      <c r="IM80" s="298"/>
      <c r="IN80" s="298"/>
      <c r="IO80" s="298"/>
      <c r="IP80" s="298"/>
      <c r="IQ80" s="298"/>
      <c r="IR80" s="298"/>
      <c r="IS80" s="298"/>
      <c r="IT80" s="298"/>
      <c r="IU80" s="298"/>
      <c r="IV80" s="298"/>
    </row>
    <row r="81" spans="1:256" ht="33.75" customHeight="1">
      <c r="A81" s="1304" t="s">
        <v>699</v>
      </c>
      <c r="B81" s="302">
        <v>-11300.16</v>
      </c>
      <c r="C81" s="296"/>
      <c r="D81" s="297"/>
      <c r="E81" s="297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  <c r="AT81" s="298"/>
      <c r="AU81" s="298"/>
      <c r="AV81" s="298"/>
      <c r="AW81" s="298"/>
      <c r="AX81" s="298"/>
      <c r="AY81" s="298"/>
      <c r="AZ81" s="298"/>
      <c r="BA81" s="298"/>
      <c r="BB81" s="298"/>
      <c r="BC81" s="298"/>
      <c r="BD81" s="298"/>
      <c r="BE81" s="298"/>
      <c r="BF81" s="298"/>
      <c r="BG81" s="298"/>
      <c r="BH81" s="298"/>
      <c r="BI81" s="298"/>
      <c r="BJ81" s="298"/>
      <c r="BK81" s="298"/>
      <c r="BL81" s="298"/>
      <c r="BM81" s="298"/>
      <c r="BN81" s="298"/>
      <c r="BO81" s="298"/>
      <c r="BP81" s="298"/>
      <c r="BQ81" s="298"/>
      <c r="BR81" s="298"/>
      <c r="BS81" s="298"/>
      <c r="BT81" s="298"/>
      <c r="BU81" s="298"/>
      <c r="BV81" s="298"/>
      <c r="BW81" s="298"/>
      <c r="BX81" s="298"/>
      <c r="BY81" s="298"/>
      <c r="BZ81" s="298"/>
      <c r="CA81" s="298"/>
      <c r="CB81" s="298"/>
      <c r="CC81" s="298"/>
      <c r="CD81" s="298"/>
      <c r="CE81" s="298"/>
      <c r="CF81" s="298"/>
      <c r="CG81" s="298"/>
      <c r="CH81" s="298"/>
      <c r="CI81" s="298"/>
      <c r="CJ81" s="298"/>
      <c r="CK81" s="298"/>
      <c r="CL81" s="298"/>
      <c r="CM81" s="298"/>
      <c r="CN81" s="298"/>
      <c r="CO81" s="298"/>
      <c r="CP81" s="298"/>
      <c r="CQ81" s="298"/>
      <c r="CR81" s="298"/>
      <c r="CS81" s="298"/>
      <c r="CT81" s="298"/>
      <c r="CU81" s="298"/>
      <c r="CV81" s="298"/>
      <c r="CW81" s="298"/>
      <c r="CX81" s="298"/>
      <c r="CY81" s="298"/>
      <c r="CZ81" s="298"/>
      <c r="DA81" s="298"/>
      <c r="DB81" s="298"/>
      <c r="DC81" s="298"/>
      <c r="DD81" s="298"/>
      <c r="DE81" s="298"/>
      <c r="DF81" s="298"/>
      <c r="DG81" s="298"/>
      <c r="DH81" s="298"/>
      <c r="DI81" s="298"/>
      <c r="DJ81" s="298"/>
      <c r="DK81" s="298"/>
      <c r="DL81" s="298"/>
      <c r="DM81" s="298"/>
      <c r="DN81" s="298"/>
      <c r="DO81" s="298"/>
      <c r="DP81" s="298"/>
      <c r="DQ81" s="298"/>
      <c r="DR81" s="298"/>
      <c r="DS81" s="298"/>
      <c r="DT81" s="298"/>
      <c r="DU81" s="298"/>
      <c r="DV81" s="298"/>
      <c r="DW81" s="298"/>
      <c r="DX81" s="298"/>
      <c r="DY81" s="298"/>
      <c r="DZ81" s="298"/>
      <c r="EA81" s="298"/>
      <c r="EB81" s="298"/>
      <c r="EC81" s="298"/>
      <c r="ED81" s="298"/>
      <c r="EE81" s="298"/>
      <c r="EF81" s="298"/>
      <c r="EG81" s="298"/>
      <c r="EH81" s="298"/>
      <c r="EI81" s="298"/>
      <c r="EJ81" s="298"/>
      <c r="EK81" s="298"/>
      <c r="EL81" s="298"/>
      <c r="EM81" s="298"/>
      <c r="EN81" s="298"/>
      <c r="EO81" s="298"/>
      <c r="EP81" s="298"/>
      <c r="EQ81" s="298"/>
      <c r="ER81" s="298"/>
      <c r="ES81" s="298"/>
      <c r="ET81" s="298"/>
      <c r="EU81" s="298"/>
      <c r="EV81" s="298"/>
      <c r="EW81" s="298"/>
      <c r="EX81" s="298"/>
      <c r="EY81" s="298"/>
      <c r="EZ81" s="298"/>
      <c r="FA81" s="298"/>
      <c r="FB81" s="298"/>
      <c r="FC81" s="298"/>
      <c r="FD81" s="298"/>
      <c r="FE81" s="298"/>
      <c r="FF81" s="298"/>
      <c r="FG81" s="298"/>
      <c r="FH81" s="298"/>
      <c r="FI81" s="298"/>
      <c r="FJ81" s="298"/>
      <c r="FK81" s="298"/>
      <c r="FL81" s="298"/>
      <c r="FM81" s="298"/>
      <c r="FN81" s="298"/>
      <c r="FO81" s="298"/>
      <c r="FP81" s="298"/>
      <c r="FQ81" s="298"/>
      <c r="FR81" s="298"/>
      <c r="FS81" s="298"/>
      <c r="FT81" s="298"/>
      <c r="FU81" s="298"/>
      <c r="FV81" s="298"/>
      <c r="FW81" s="298"/>
      <c r="FX81" s="298"/>
      <c r="FY81" s="298"/>
      <c r="FZ81" s="298"/>
      <c r="GA81" s="298"/>
      <c r="GB81" s="298"/>
      <c r="GC81" s="298"/>
      <c r="GD81" s="298"/>
      <c r="GE81" s="298"/>
      <c r="GF81" s="298"/>
      <c r="GG81" s="298"/>
      <c r="GH81" s="298"/>
      <c r="GI81" s="298"/>
      <c r="GJ81" s="298"/>
      <c r="GK81" s="298"/>
      <c r="GL81" s="298"/>
      <c r="GM81" s="298"/>
      <c r="GN81" s="298"/>
      <c r="GO81" s="298"/>
      <c r="GP81" s="298"/>
      <c r="GQ81" s="298"/>
      <c r="GR81" s="298"/>
      <c r="GS81" s="298"/>
      <c r="GT81" s="298"/>
      <c r="GU81" s="298"/>
      <c r="GV81" s="298"/>
      <c r="GW81" s="298"/>
      <c r="GX81" s="298"/>
      <c r="GY81" s="298"/>
      <c r="GZ81" s="298"/>
      <c r="HA81" s="298"/>
      <c r="HB81" s="298"/>
      <c r="HC81" s="298"/>
      <c r="HD81" s="298"/>
      <c r="HE81" s="298"/>
      <c r="HF81" s="298"/>
      <c r="HG81" s="298"/>
      <c r="HH81" s="298"/>
      <c r="HI81" s="298"/>
      <c r="HJ81" s="298"/>
      <c r="HK81" s="298"/>
      <c r="HL81" s="298"/>
      <c r="HM81" s="298"/>
      <c r="HN81" s="298"/>
      <c r="HO81" s="298"/>
      <c r="HP81" s="298"/>
      <c r="HQ81" s="298"/>
      <c r="HR81" s="298"/>
      <c r="HS81" s="298"/>
      <c r="HT81" s="298"/>
      <c r="HU81" s="298"/>
      <c r="HV81" s="298"/>
      <c r="HW81" s="298"/>
      <c r="HX81" s="298"/>
      <c r="HY81" s="298"/>
      <c r="HZ81" s="298"/>
      <c r="IA81" s="298"/>
      <c r="IB81" s="298"/>
      <c r="IC81" s="298"/>
      <c r="ID81" s="298"/>
      <c r="IE81" s="298"/>
      <c r="IF81" s="298"/>
      <c r="IG81" s="298"/>
      <c r="IH81" s="298"/>
      <c r="II81" s="298"/>
      <c r="IJ81" s="298"/>
      <c r="IK81" s="298"/>
      <c r="IL81" s="298"/>
      <c r="IM81" s="298"/>
      <c r="IN81" s="298"/>
      <c r="IO81" s="298"/>
      <c r="IP81" s="298"/>
      <c r="IQ81" s="298"/>
      <c r="IR81" s="298"/>
      <c r="IS81" s="298"/>
      <c r="IT81" s="298"/>
      <c r="IU81" s="298"/>
      <c r="IV81" s="298"/>
    </row>
    <row r="82" spans="1:256" ht="75" customHeight="1" thickBot="1">
      <c r="A82" s="350" t="s">
        <v>713</v>
      </c>
      <c r="B82" s="302">
        <v>-1360232.55</v>
      </c>
      <c r="C82" s="296"/>
      <c r="D82" s="297"/>
      <c r="E82" s="297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8"/>
      <c r="BB82" s="298"/>
      <c r="BC82" s="298"/>
      <c r="BD82" s="298"/>
      <c r="BE82" s="298"/>
      <c r="BF82" s="298"/>
      <c r="BG82" s="298"/>
      <c r="BH82" s="298"/>
      <c r="BI82" s="298"/>
      <c r="BJ82" s="298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  <c r="BW82" s="298"/>
      <c r="BX82" s="298"/>
      <c r="BY82" s="298"/>
      <c r="BZ82" s="298"/>
      <c r="CA82" s="298"/>
      <c r="CB82" s="298"/>
      <c r="CC82" s="29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8"/>
      <c r="CN82" s="298"/>
      <c r="CO82" s="298"/>
      <c r="CP82" s="298"/>
      <c r="CQ82" s="298"/>
      <c r="CR82" s="298"/>
      <c r="CS82" s="298"/>
      <c r="CT82" s="298"/>
      <c r="CU82" s="298"/>
      <c r="CV82" s="298"/>
      <c r="CW82" s="298"/>
      <c r="CX82" s="298"/>
      <c r="CY82" s="298"/>
      <c r="CZ82" s="298"/>
      <c r="DA82" s="298"/>
      <c r="DB82" s="298"/>
      <c r="DC82" s="298"/>
      <c r="DD82" s="298"/>
      <c r="DE82" s="298"/>
      <c r="DF82" s="298"/>
      <c r="DG82" s="298"/>
      <c r="DH82" s="298"/>
      <c r="DI82" s="298"/>
      <c r="DJ82" s="298"/>
      <c r="DK82" s="298"/>
      <c r="DL82" s="298"/>
      <c r="DM82" s="298"/>
      <c r="DN82" s="298"/>
      <c r="DO82" s="298"/>
      <c r="DP82" s="298"/>
      <c r="DQ82" s="298"/>
      <c r="DR82" s="298"/>
      <c r="DS82" s="298"/>
      <c r="DT82" s="298"/>
      <c r="DU82" s="298"/>
      <c r="DV82" s="298"/>
      <c r="DW82" s="298"/>
      <c r="DX82" s="298"/>
      <c r="DY82" s="298"/>
      <c r="DZ82" s="298"/>
      <c r="EA82" s="298"/>
      <c r="EB82" s="298"/>
      <c r="EC82" s="298"/>
      <c r="ED82" s="298"/>
      <c r="EE82" s="298"/>
      <c r="EF82" s="298"/>
      <c r="EG82" s="298"/>
      <c r="EH82" s="298"/>
      <c r="EI82" s="298"/>
      <c r="EJ82" s="298"/>
      <c r="EK82" s="298"/>
      <c r="EL82" s="298"/>
      <c r="EM82" s="298"/>
      <c r="EN82" s="298"/>
      <c r="EO82" s="298"/>
      <c r="EP82" s="298"/>
      <c r="EQ82" s="298"/>
      <c r="ER82" s="298"/>
      <c r="ES82" s="298"/>
      <c r="ET82" s="298"/>
      <c r="EU82" s="298"/>
      <c r="EV82" s="298"/>
      <c r="EW82" s="298"/>
      <c r="EX82" s="298"/>
      <c r="EY82" s="298"/>
      <c r="EZ82" s="298"/>
      <c r="FA82" s="298"/>
      <c r="FB82" s="298"/>
      <c r="FC82" s="298"/>
      <c r="FD82" s="298"/>
      <c r="FE82" s="298"/>
      <c r="FF82" s="298"/>
      <c r="FG82" s="298"/>
      <c r="FH82" s="298"/>
      <c r="FI82" s="298"/>
      <c r="FJ82" s="298"/>
      <c r="FK82" s="298"/>
      <c r="FL82" s="298"/>
      <c r="FM82" s="298"/>
      <c r="FN82" s="298"/>
      <c r="FO82" s="298"/>
      <c r="FP82" s="298"/>
      <c r="FQ82" s="298"/>
      <c r="FR82" s="298"/>
      <c r="FS82" s="298"/>
      <c r="FT82" s="298"/>
      <c r="FU82" s="298"/>
      <c r="FV82" s="298"/>
      <c r="FW82" s="298"/>
      <c r="FX82" s="298"/>
      <c r="FY82" s="298"/>
      <c r="FZ82" s="298"/>
      <c r="GA82" s="298"/>
      <c r="GB82" s="298"/>
      <c r="GC82" s="298"/>
      <c r="GD82" s="298"/>
      <c r="GE82" s="298"/>
      <c r="GF82" s="298"/>
      <c r="GG82" s="298"/>
      <c r="GH82" s="298"/>
      <c r="GI82" s="298"/>
      <c r="GJ82" s="298"/>
      <c r="GK82" s="298"/>
      <c r="GL82" s="298"/>
      <c r="GM82" s="298"/>
      <c r="GN82" s="298"/>
      <c r="GO82" s="298"/>
      <c r="GP82" s="298"/>
      <c r="GQ82" s="298"/>
      <c r="GR82" s="298"/>
      <c r="GS82" s="298"/>
      <c r="GT82" s="298"/>
      <c r="GU82" s="298"/>
      <c r="GV82" s="298"/>
      <c r="GW82" s="298"/>
      <c r="GX82" s="298"/>
      <c r="GY82" s="298"/>
      <c r="GZ82" s="298"/>
      <c r="HA82" s="298"/>
      <c r="HB82" s="298"/>
      <c r="HC82" s="298"/>
      <c r="HD82" s="298"/>
      <c r="HE82" s="298"/>
      <c r="HF82" s="298"/>
      <c r="HG82" s="298"/>
      <c r="HH82" s="298"/>
      <c r="HI82" s="298"/>
      <c r="HJ82" s="298"/>
      <c r="HK82" s="298"/>
      <c r="HL82" s="298"/>
      <c r="HM82" s="298"/>
      <c r="HN82" s="298"/>
      <c r="HO82" s="298"/>
      <c r="HP82" s="298"/>
      <c r="HQ82" s="298"/>
      <c r="HR82" s="298"/>
      <c r="HS82" s="298"/>
      <c r="HT82" s="298"/>
      <c r="HU82" s="298"/>
      <c r="HV82" s="298"/>
      <c r="HW82" s="298"/>
      <c r="HX82" s="298"/>
      <c r="HY82" s="298"/>
      <c r="HZ82" s="298"/>
      <c r="IA82" s="298"/>
      <c r="IB82" s="298"/>
      <c r="IC82" s="298"/>
      <c r="ID82" s="298"/>
      <c r="IE82" s="298"/>
      <c r="IF82" s="298"/>
      <c r="IG82" s="298"/>
      <c r="IH82" s="298"/>
      <c r="II82" s="298"/>
      <c r="IJ82" s="298"/>
      <c r="IK82" s="298"/>
      <c r="IL82" s="298"/>
      <c r="IM82" s="298"/>
      <c r="IN82" s="298"/>
      <c r="IO82" s="298"/>
      <c r="IP82" s="298"/>
      <c r="IQ82" s="298"/>
      <c r="IR82" s="298"/>
      <c r="IS82" s="298"/>
      <c r="IT82" s="298"/>
      <c r="IU82" s="298"/>
      <c r="IV82" s="298"/>
    </row>
    <row r="83" spans="1:256" ht="30.75" customHeight="1" thickBot="1" thickTop="1">
      <c r="A83" s="348" t="s">
        <v>239</v>
      </c>
      <c r="B83" s="349">
        <f>SUM(B77:B82)</f>
        <v>-1752594.4</v>
      </c>
      <c r="C83" s="296"/>
      <c r="D83" s="297"/>
      <c r="E83" s="297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  <c r="AT83" s="298"/>
      <c r="AU83" s="298"/>
      <c r="AV83" s="298"/>
      <c r="AW83" s="298"/>
      <c r="AX83" s="298"/>
      <c r="AY83" s="298"/>
      <c r="AZ83" s="298"/>
      <c r="BA83" s="298"/>
      <c r="BB83" s="298"/>
      <c r="BC83" s="298"/>
      <c r="BD83" s="298"/>
      <c r="BE83" s="298"/>
      <c r="BF83" s="298"/>
      <c r="BG83" s="298"/>
      <c r="BH83" s="298"/>
      <c r="BI83" s="298"/>
      <c r="BJ83" s="298"/>
      <c r="BK83" s="298"/>
      <c r="BL83" s="298"/>
      <c r="BM83" s="298"/>
      <c r="BN83" s="298"/>
      <c r="BO83" s="298"/>
      <c r="BP83" s="298"/>
      <c r="BQ83" s="298"/>
      <c r="BR83" s="298"/>
      <c r="BS83" s="298"/>
      <c r="BT83" s="298"/>
      <c r="BU83" s="298"/>
      <c r="BV83" s="298"/>
      <c r="BW83" s="298"/>
      <c r="BX83" s="298"/>
      <c r="BY83" s="298"/>
      <c r="BZ83" s="298"/>
      <c r="CA83" s="298"/>
      <c r="CB83" s="298"/>
      <c r="CC83" s="298"/>
      <c r="CD83" s="298"/>
      <c r="CE83" s="298"/>
      <c r="CF83" s="298"/>
      <c r="CG83" s="298"/>
      <c r="CH83" s="298"/>
      <c r="CI83" s="298"/>
      <c r="CJ83" s="298"/>
      <c r="CK83" s="298"/>
      <c r="CL83" s="298"/>
      <c r="CM83" s="298"/>
      <c r="CN83" s="298"/>
      <c r="CO83" s="298"/>
      <c r="CP83" s="298"/>
      <c r="CQ83" s="298"/>
      <c r="CR83" s="298"/>
      <c r="CS83" s="298"/>
      <c r="CT83" s="298"/>
      <c r="CU83" s="298"/>
      <c r="CV83" s="298"/>
      <c r="CW83" s="298"/>
      <c r="CX83" s="298"/>
      <c r="CY83" s="298"/>
      <c r="CZ83" s="298"/>
      <c r="DA83" s="298"/>
      <c r="DB83" s="298"/>
      <c r="DC83" s="298"/>
      <c r="DD83" s="298"/>
      <c r="DE83" s="298"/>
      <c r="DF83" s="298"/>
      <c r="DG83" s="298"/>
      <c r="DH83" s="298"/>
      <c r="DI83" s="298"/>
      <c r="DJ83" s="298"/>
      <c r="DK83" s="298"/>
      <c r="DL83" s="298"/>
      <c r="DM83" s="298"/>
      <c r="DN83" s="298"/>
      <c r="DO83" s="298"/>
      <c r="DP83" s="298"/>
      <c r="DQ83" s="298"/>
      <c r="DR83" s="298"/>
      <c r="DS83" s="298"/>
      <c r="DT83" s="298"/>
      <c r="DU83" s="298"/>
      <c r="DV83" s="298"/>
      <c r="DW83" s="298"/>
      <c r="DX83" s="298"/>
      <c r="DY83" s="298"/>
      <c r="DZ83" s="298"/>
      <c r="EA83" s="298"/>
      <c r="EB83" s="298"/>
      <c r="EC83" s="298"/>
      <c r="ED83" s="298"/>
      <c r="EE83" s="298"/>
      <c r="EF83" s="298"/>
      <c r="EG83" s="298"/>
      <c r="EH83" s="298"/>
      <c r="EI83" s="298"/>
      <c r="EJ83" s="298"/>
      <c r="EK83" s="298"/>
      <c r="EL83" s="298"/>
      <c r="EM83" s="298"/>
      <c r="EN83" s="298"/>
      <c r="EO83" s="298"/>
      <c r="EP83" s="298"/>
      <c r="EQ83" s="298"/>
      <c r="ER83" s="298"/>
      <c r="ES83" s="298"/>
      <c r="ET83" s="298"/>
      <c r="EU83" s="298"/>
      <c r="EV83" s="298"/>
      <c r="EW83" s="298"/>
      <c r="EX83" s="298"/>
      <c r="EY83" s="298"/>
      <c r="EZ83" s="298"/>
      <c r="FA83" s="298"/>
      <c r="FB83" s="298"/>
      <c r="FC83" s="298"/>
      <c r="FD83" s="298"/>
      <c r="FE83" s="298"/>
      <c r="FF83" s="298"/>
      <c r="FG83" s="298"/>
      <c r="FH83" s="298"/>
      <c r="FI83" s="298"/>
      <c r="FJ83" s="298"/>
      <c r="FK83" s="298"/>
      <c r="FL83" s="298"/>
      <c r="FM83" s="298"/>
      <c r="FN83" s="298"/>
      <c r="FO83" s="298"/>
      <c r="FP83" s="298"/>
      <c r="FQ83" s="298"/>
      <c r="FR83" s="298"/>
      <c r="FS83" s="298"/>
      <c r="FT83" s="298"/>
      <c r="FU83" s="298"/>
      <c r="FV83" s="298"/>
      <c r="FW83" s="298"/>
      <c r="FX83" s="298"/>
      <c r="FY83" s="298"/>
      <c r="FZ83" s="298"/>
      <c r="GA83" s="298"/>
      <c r="GB83" s="298"/>
      <c r="GC83" s="298"/>
      <c r="GD83" s="298"/>
      <c r="GE83" s="298"/>
      <c r="GF83" s="298"/>
      <c r="GG83" s="298"/>
      <c r="GH83" s="298"/>
      <c r="GI83" s="298"/>
      <c r="GJ83" s="298"/>
      <c r="GK83" s="298"/>
      <c r="GL83" s="298"/>
      <c r="GM83" s="298"/>
      <c r="GN83" s="298"/>
      <c r="GO83" s="298"/>
      <c r="GP83" s="298"/>
      <c r="GQ83" s="298"/>
      <c r="GR83" s="298"/>
      <c r="GS83" s="298"/>
      <c r="GT83" s="298"/>
      <c r="GU83" s="298"/>
      <c r="GV83" s="298"/>
      <c r="GW83" s="298"/>
      <c r="GX83" s="298"/>
      <c r="GY83" s="298"/>
      <c r="GZ83" s="298"/>
      <c r="HA83" s="298"/>
      <c r="HB83" s="298"/>
      <c r="HC83" s="298"/>
      <c r="HD83" s="298"/>
      <c r="HE83" s="298"/>
      <c r="HF83" s="298"/>
      <c r="HG83" s="298"/>
      <c r="HH83" s="298"/>
      <c r="HI83" s="298"/>
      <c r="HJ83" s="298"/>
      <c r="HK83" s="298"/>
      <c r="HL83" s="298"/>
      <c r="HM83" s="298"/>
      <c r="HN83" s="298"/>
      <c r="HO83" s="298"/>
      <c r="HP83" s="298"/>
      <c r="HQ83" s="298"/>
      <c r="HR83" s="298"/>
      <c r="HS83" s="298"/>
      <c r="HT83" s="298"/>
      <c r="HU83" s="298"/>
      <c r="HV83" s="298"/>
      <c r="HW83" s="298"/>
      <c r="HX83" s="298"/>
      <c r="HY83" s="298"/>
      <c r="HZ83" s="298"/>
      <c r="IA83" s="298"/>
      <c r="IB83" s="298"/>
      <c r="IC83" s="298"/>
      <c r="ID83" s="298"/>
      <c r="IE83" s="298"/>
      <c r="IF83" s="298"/>
      <c r="IG83" s="298"/>
      <c r="IH83" s="298"/>
      <c r="II83" s="298"/>
      <c r="IJ83" s="298"/>
      <c r="IK83" s="298"/>
      <c r="IL83" s="298"/>
      <c r="IM83" s="298"/>
      <c r="IN83" s="298"/>
      <c r="IO83" s="298"/>
      <c r="IP83" s="298"/>
      <c r="IQ83" s="298"/>
      <c r="IR83" s="298"/>
      <c r="IS83" s="298"/>
      <c r="IT83" s="298"/>
      <c r="IU83" s="298"/>
      <c r="IV83" s="298"/>
    </row>
    <row r="84" spans="1:256" ht="32.25" customHeight="1" thickBot="1">
      <c r="A84" s="303" t="s">
        <v>283</v>
      </c>
      <c r="B84" s="322">
        <f>B23+B28+B74+B83</f>
        <v>-6852208.530000001</v>
      </c>
      <c r="C84" s="296"/>
      <c r="D84" s="297"/>
      <c r="E84" s="297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8"/>
      <c r="BQ84" s="298"/>
      <c r="BR84" s="298"/>
      <c r="BS84" s="298"/>
      <c r="BT84" s="298"/>
      <c r="BU84" s="298"/>
      <c r="BV84" s="298"/>
      <c r="BW84" s="298"/>
      <c r="BX84" s="298"/>
      <c r="BY84" s="298"/>
      <c r="BZ84" s="298"/>
      <c r="CA84" s="298"/>
      <c r="CB84" s="298"/>
      <c r="CC84" s="298"/>
      <c r="CD84" s="298"/>
      <c r="CE84" s="298"/>
      <c r="CF84" s="298"/>
      <c r="CG84" s="298"/>
      <c r="CH84" s="298"/>
      <c r="CI84" s="298"/>
      <c r="CJ84" s="298"/>
      <c r="CK84" s="298"/>
      <c r="CL84" s="298"/>
      <c r="CM84" s="298"/>
      <c r="CN84" s="298"/>
      <c r="CO84" s="298"/>
      <c r="CP84" s="298"/>
      <c r="CQ84" s="298"/>
      <c r="CR84" s="298"/>
      <c r="CS84" s="298"/>
      <c r="CT84" s="298"/>
      <c r="CU84" s="298"/>
      <c r="CV84" s="298"/>
      <c r="CW84" s="298"/>
      <c r="CX84" s="298"/>
      <c r="CY84" s="298"/>
      <c r="CZ84" s="298"/>
      <c r="DA84" s="298"/>
      <c r="DB84" s="298"/>
      <c r="DC84" s="298"/>
      <c r="DD84" s="298"/>
      <c r="DE84" s="298"/>
      <c r="DF84" s="298"/>
      <c r="DG84" s="298"/>
      <c r="DH84" s="298"/>
      <c r="DI84" s="298"/>
      <c r="DJ84" s="298"/>
      <c r="DK84" s="298"/>
      <c r="DL84" s="298"/>
      <c r="DM84" s="298"/>
      <c r="DN84" s="298"/>
      <c r="DO84" s="298"/>
      <c r="DP84" s="298"/>
      <c r="DQ84" s="298"/>
      <c r="DR84" s="298"/>
      <c r="DS84" s="298"/>
      <c r="DT84" s="298"/>
      <c r="DU84" s="298"/>
      <c r="DV84" s="298"/>
      <c r="DW84" s="298"/>
      <c r="DX84" s="298"/>
      <c r="DY84" s="298"/>
      <c r="DZ84" s="298"/>
      <c r="EA84" s="298"/>
      <c r="EB84" s="298"/>
      <c r="EC84" s="298"/>
      <c r="ED84" s="298"/>
      <c r="EE84" s="298"/>
      <c r="EF84" s="298"/>
      <c r="EG84" s="298"/>
      <c r="EH84" s="298"/>
      <c r="EI84" s="298"/>
      <c r="EJ84" s="298"/>
      <c r="EK84" s="298"/>
      <c r="EL84" s="298"/>
      <c r="EM84" s="298"/>
      <c r="EN84" s="298"/>
      <c r="EO84" s="298"/>
      <c r="EP84" s="298"/>
      <c r="EQ84" s="298"/>
      <c r="ER84" s="298"/>
      <c r="ES84" s="298"/>
      <c r="ET84" s="298"/>
      <c r="EU84" s="298"/>
      <c r="EV84" s="298"/>
      <c r="EW84" s="298"/>
      <c r="EX84" s="298"/>
      <c r="EY84" s="298"/>
      <c r="EZ84" s="298"/>
      <c r="FA84" s="298"/>
      <c r="FB84" s="298"/>
      <c r="FC84" s="298"/>
      <c r="FD84" s="298"/>
      <c r="FE84" s="298"/>
      <c r="FF84" s="298"/>
      <c r="FG84" s="298"/>
      <c r="FH84" s="298"/>
      <c r="FI84" s="298"/>
      <c r="FJ84" s="298"/>
      <c r="FK84" s="298"/>
      <c r="FL84" s="298"/>
      <c r="FM84" s="298"/>
      <c r="FN84" s="298"/>
      <c r="FO84" s="298"/>
      <c r="FP84" s="298"/>
      <c r="FQ84" s="298"/>
      <c r="FR84" s="298"/>
      <c r="FS84" s="298"/>
      <c r="FT84" s="298"/>
      <c r="FU84" s="298"/>
      <c r="FV84" s="298"/>
      <c r="FW84" s="298"/>
      <c r="FX84" s="298"/>
      <c r="FY84" s="298"/>
      <c r="FZ84" s="298"/>
      <c r="GA84" s="298"/>
      <c r="GB84" s="298"/>
      <c r="GC84" s="298"/>
      <c r="GD84" s="298"/>
      <c r="GE84" s="298"/>
      <c r="GF84" s="298"/>
      <c r="GG84" s="298"/>
      <c r="GH84" s="298"/>
      <c r="GI84" s="298"/>
      <c r="GJ84" s="298"/>
      <c r="GK84" s="298"/>
      <c r="GL84" s="298"/>
      <c r="GM84" s="298"/>
      <c r="GN84" s="298"/>
      <c r="GO84" s="298"/>
      <c r="GP84" s="298"/>
      <c r="GQ84" s="298"/>
      <c r="GR84" s="298"/>
      <c r="GS84" s="298"/>
      <c r="GT84" s="298"/>
      <c r="GU84" s="298"/>
      <c r="GV84" s="298"/>
      <c r="GW84" s="298"/>
      <c r="GX84" s="298"/>
      <c r="GY84" s="298"/>
      <c r="GZ84" s="298"/>
      <c r="HA84" s="298"/>
      <c r="HB84" s="298"/>
      <c r="HC84" s="298"/>
      <c r="HD84" s="298"/>
      <c r="HE84" s="298"/>
      <c r="HF84" s="298"/>
      <c r="HG84" s="298"/>
      <c r="HH84" s="298"/>
      <c r="HI84" s="298"/>
      <c r="HJ84" s="298"/>
      <c r="HK84" s="298"/>
      <c r="HL84" s="298"/>
      <c r="HM84" s="298"/>
      <c r="HN84" s="298"/>
      <c r="HO84" s="298"/>
      <c r="HP84" s="298"/>
      <c r="HQ84" s="298"/>
      <c r="HR84" s="298"/>
      <c r="HS84" s="298"/>
      <c r="HT84" s="298"/>
      <c r="HU84" s="298"/>
      <c r="HV84" s="298"/>
      <c r="HW84" s="298"/>
      <c r="HX84" s="298"/>
      <c r="HY84" s="298"/>
      <c r="HZ84" s="298"/>
      <c r="IA84" s="298"/>
      <c r="IB84" s="298"/>
      <c r="IC84" s="298"/>
      <c r="ID84" s="298"/>
      <c r="IE84" s="298"/>
      <c r="IF84" s="298"/>
      <c r="IG84" s="298"/>
      <c r="IH84" s="298"/>
      <c r="II84" s="298"/>
      <c r="IJ84" s="298"/>
      <c r="IK84" s="298"/>
      <c r="IL84" s="298"/>
      <c r="IM84" s="298"/>
      <c r="IN84" s="298"/>
      <c r="IO84" s="298"/>
      <c r="IP84" s="298"/>
      <c r="IQ84" s="298"/>
      <c r="IR84" s="298"/>
      <c r="IS84" s="298"/>
      <c r="IT84" s="298"/>
      <c r="IU84" s="298"/>
      <c r="IV84" s="298"/>
    </row>
    <row r="85" spans="1:256" ht="27" customHeight="1" thickBot="1">
      <c r="A85" s="323" t="s">
        <v>329</v>
      </c>
      <c r="B85" s="324">
        <v>343575750.46</v>
      </c>
      <c r="C85" s="296"/>
      <c r="D85" s="297"/>
      <c r="E85" s="297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298"/>
      <c r="BA85" s="298"/>
      <c r="BB85" s="298"/>
      <c r="BC85" s="298"/>
      <c r="BD85" s="298"/>
      <c r="BE85" s="298"/>
      <c r="BF85" s="298"/>
      <c r="BG85" s="298"/>
      <c r="BH85" s="298"/>
      <c r="BI85" s="298"/>
      <c r="BJ85" s="298"/>
      <c r="BK85" s="298"/>
      <c r="BL85" s="298"/>
      <c r="BM85" s="298"/>
      <c r="BN85" s="298"/>
      <c r="BO85" s="298"/>
      <c r="BP85" s="298"/>
      <c r="BQ85" s="298"/>
      <c r="BR85" s="298"/>
      <c r="BS85" s="298"/>
      <c r="BT85" s="298"/>
      <c r="BU85" s="298"/>
      <c r="BV85" s="298"/>
      <c r="BW85" s="298"/>
      <c r="BX85" s="298"/>
      <c r="BY85" s="298"/>
      <c r="BZ85" s="298"/>
      <c r="CA85" s="298"/>
      <c r="CB85" s="298"/>
      <c r="CC85" s="298"/>
      <c r="CD85" s="298"/>
      <c r="CE85" s="298"/>
      <c r="CF85" s="298"/>
      <c r="CG85" s="298"/>
      <c r="CH85" s="298"/>
      <c r="CI85" s="298"/>
      <c r="CJ85" s="298"/>
      <c r="CK85" s="298"/>
      <c r="CL85" s="298"/>
      <c r="CM85" s="298"/>
      <c r="CN85" s="298"/>
      <c r="CO85" s="298"/>
      <c r="CP85" s="298"/>
      <c r="CQ85" s="298"/>
      <c r="CR85" s="298"/>
      <c r="CS85" s="298"/>
      <c r="CT85" s="298"/>
      <c r="CU85" s="298"/>
      <c r="CV85" s="298"/>
      <c r="CW85" s="298"/>
      <c r="CX85" s="298"/>
      <c r="CY85" s="298"/>
      <c r="CZ85" s="298"/>
      <c r="DA85" s="298"/>
      <c r="DB85" s="298"/>
      <c r="DC85" s="298"/>
      <c r="DD85" s="298"/>
      <c r="DE85" s="298"/>
      <c r="DF85" s="298"/>
      <c r="DG85" s="298"/>
      <c r="DH85" s="298"/>
      <c r="DI85" s="298"/>
      <c r="DJ85" s="298"/>
      <c r="DK85" s="298"/>
      <c r="DL85" s="298"/>
      <c r="DM85" s="298"/>
      <c r="DN85" s="298"/>
      <c r="DO85" s="298"/>
      <c r="DP85" s="298"/>
      <c r="DQ85" s="298"/>
      <c r="DR85" s="298"/>
      <c r="DS85" s="298"/>
      <c r="DT85" s="298"/>
      <c r="DU85" s="298"/>
      <c r="DV85" s="298"/>
      <c r="DW85" s="298"/>
      <c r="DX85" s="298"/>
      <c r="DY85" s="298"/>
      <c r="DZ85" s="298"/>
      <c r="EA85" s="298"/>
      <c r="EB85" s="298"/>
      <c r="EC85" s="298"/>
      <c r="ED85" s="298"/>
      <c r="EE85" s="298"/>
      <c r="EF85" s="298"/>
      <c r="EG85" s="298"/>
      <c r="EH85" s="298"/>
      <c r="EI85" s="298"/>
      <c r="EJ85" s="298"/>
      <c r="EK85" s="298"/>
      <c r="EL85" s="298"/>
      <c r="EM85" s="298"/>
      <c r="EN85" s="298"/>
      <c r="EO85" s="298"/>
      <c r="EP85" s="298"/>
      <c r="EQ85" s="298"/>
      <c r="ER85" s="298"/>
      <c r="ES85" s="298"/>
      <c r="ET85" s="298"/>
      <c r="EU85" s="298"/>
      <c r="EV85" s="298"/>
      <c r="EW85" s="298"/>
      <c r="EX85" s="298"/>
      <c r="EY85" s="298"/>
      <c r="EZ85" s="298"/>
      <c r="FA85" s="298"/>
      <c r="FB85" s="298"/>
      <c r="FC85" s="298"/>
      <c r="FD85" s="298"/>
      <c r="FE85" s="298"/>
      <c r="FF85" s="298"/>
      <c r="FG85" s="298"/>
      <c r="FH85" s="298"/>
      <c r="FI85" s="298"/>
      <c r="FJ85" s="298"/>
      <c r="FK85" s="298"/>
      <c r="FL85" s="298"/>
      <c r="FM85" s="298"/>
      <c r="FN85" s="298"/>
      <c r="FO85" s="298"/>
      <c r="FP85" s="298"/>
      <c r="FQ85" s="298"/>
      <c r="FR85" s="298"/>
      <c r="FS85" s="298"/>
      <c r="FT85" s="298"/>
      <c r="FU85" s="298"/>
      <c r="FV85" s="298"/>
      <c r="FW85" s="298"/>
      <c r="FX85" s="298"/>
      <c r="FY85" s="298"/>
      <c r="FZ85" s="298"/>
      <c r="GA85" s="298"/>
      <c r="GB85" s="298"/>
      <c r="GC85" s="298"/>
      <c r="GD85" s="298"/>
      <c r="GE85" s="298"/>
      <c r="GF85" s="298"/>
      <c r="GG85" s="298"/>
      <c r="GH85" s="298"/>
      <c r="GI85" s="298"/>
      <c r="GJ85" s="298"/>
      <c r="GK85" s="298"/>
      <c r="GL85" s="298"/>
      <c r="GM85" s="298"/>
      <c r="GN85" s="298"/>
      <c r="GO85" s="298"/>
      <c r="GP85" s="298"/>
      <c r="GQ85" s="298"/>
      <c r="GR85" s="298"/>
      <c r="GS85" s="298"/>
      <c r="GT85" s="298"/>
      <c r="GU85" s="298"/>
      <c r="GV85" s="298"/>
      <c r="GW85" s="298"/>
      <c r="GX85" s="298"/>
      <c r="GY85" s="298"/>
      <c r="GZ85" s="298"/>
      <c r="HA85" s="298"/>
      <c r="HB85" s="298"/>
      <c r="HC85" s="298"/>
      <c r="HD85" s="298"/>
      <c r="HE85" s="298"/>
      <c r="HF85" s="298"/>
      <c r="HG85" s="298"/>
      <c r="HH85" s="298"/>
      <c r="HI85" s="298"/>
      <c r="HJ85" s="298"/>
      <c r="HK85" s="298"/>
      <c r="HL85" s="298"/>
      <c r="HM85" s="298"/>
      <c r="HN85" s="298"/>
      <c r="HO85" s="298"/>
      <c r="HP85" s="298"/>
      <c r="HQ85" s="298"/>
      <c r="HR85" s="298"/>
      <c r="HS85" s="298"/>
      <c r="HT85" s="298"/>
      <c r="HU85" s="298"/>
      <c r="HV85" s="298"/>
      <c r="HW85" s="298"/>
      <c r="HX85" s="298"/>
      <c r="HY85" s="298"/>
      <c r="HZ85" s="298"/>
      <c r="IA85" s="298"/>
      <c r="IB85" s="298"/>
      <c r="IC85" s="298"/>
      <c r="ID85" s="298"/>
      <c r="IE85" s="298"/>
      <c r="IF85" s="298"/>
      <c r="IG85" s="298"/>
      <c r="IH85" s="298"/>
      <c r="II85" s="298"/>
      <c r="IJ85" s="298"/>
      <c r="IK85" s="298"/>
      <c r="IL85" s="298"/>
      <c r="IM85" s="298"/>
      <c r="IN85" s="298"/>
      <c r="IO85" s="298"/>
      <c r="IP85" s="298"/>
      <c r="IQ85" s="298"/>
      <c r="IR85" s="298"/>
      <c r="IS85" s="298"/>
      <c r="IT85" s="298"/>
      <c r="IU85" s="298"/>
      <c r="IV85" s="298"/>
    </row>
    <row r="86" spans="1:256" ht="48.75" customHeight="1" thickTop="1">
      <c r="A86" s="748" t="s">
        <v>775</v>
      </c>
      <c r="B86" s="749">
        <f>SUM(B84:B85)</f>
        <v>336723541.92999995</v>
      </c>
      <c r="C86" s="296"/>
      <c r="D86" s="297"/>
      <c r="E86" s="297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  <c r="BC86" s="298"/>
      <c r="BD86" s="298"/>
      <c r="BE86" s="298"/>
      <c r="BF86" s="298"/>
      <c r="BG86" s="298"/>
      <c r="BH86" s="298"/>
      <c r="BI86" s="298"/>
      <c r="BJ86" s="298"/>
      <c r="BK86" s="298"/>
      <c r="BL86" s="298"/>
      <c r="BM86" s="298"/>
      <c r="BN86" s="298"/>
      <c r="BO86" s="298"/>
      <c r="BP86" s="298"/>
      <c r="BQ86" s="298"/>
      <c r="BR86" s="298"/>
      <c r="BS86" s="298"/>
      <c r="BT86" s="298"/>
      <c r="BU86" s="298"/>
      <c r="BV86" s="298"/>
      <c r="BW86" s="298"/>
      <c r="BX86" s="298"/>
      <c r="BY86" s="298"/>
      <c r="BZ86" s="298"/>
      <c r="CA86" s="298"/>
      <c r="CB86" s="298"/>
      <c r="CC86" s="298"/>
      <c r="CD86" s="298"/>
      <c r="CE86" s="298"/>
      <c r="CF86" s="298"/>
      <c r="CG86" s="298"/>
      <c r="CH86" s="298"/>
      <c r="CI86" s="298"/>
      <c r="CJ86" s="298"/>
      <c r="CK86" s="298"/>
      <c r="CL86" s="298"/>
      <c r="CM86" s="298"/>
      <c r="CN86" s="298"/>
      <c r="CO86" s="298"/>
      <c r="CP86" s="298"/>
      <c r="CQ86" s="298"/>
      <c r="CR86" s="298"/>
      <c r="CS86" s="298"/>
      <c r="CT86" s="298"/>
      <c r="CU86" s="298"/>
      <c r="CV86" s="298"/>
      <c r="CW86" s="298"/>
      <c r="CX86" s="298"/>
      <c r="CY86" s="298"/>
      <c r="CZ86" s="298"/>
      <c r="DA86" s="298"/>
      <c r="DB86" s="298"/>
      <c r="DC86" s="298"/>
      <c r="DD86" s="298"/>
      <c r="DE86" s="298"/>
      <c r="DF86" s="298"/>
      <c r="DG86" s="298"/>
      <c r="DH86" s="298"/>
      <c r="DI86" s="298"/>
      <c r="DJ86" s="298"/>
      <c r="DK86" s="298"/>
      <c r="DL86" s="298"/>
      <c r="DM86" s="298"/>
      <c r="DN86" s="298"/>
      <c r="DO86" s="298"/>
      <c r="DP86" s="298"/>
      <c r="DQ86" s="298"/>
      <c r="DR86" s="298"/>
      <c r="DS86" s="298"/>
      <c r="DT86" s="298"/>
      <c r="DU86" s="298"/>
      <c r="DV86" s="298"/>
      <c r="DW86" s="298"/>
      <c r="DX86" s="298"/>
      <c r="DY86" s="298"/>
      <c r="DZ86" s="298"/>
      <c r="EA86" s="298"/>
      <c r="EB86" s="298"/>
      <c r="EC86" s="298"/>
      <c r="ED86" s="298"/>
      <c r="EE86" s="298"/>
      <c r="EF86" s="298"/>
      <c r="EG86" s="298"/>
      <c r="EH86" s="298"/>
      <c r="EI86" s="298"/>
      <c r="EJ86" s="298"/>
      <c r="EK86" s="298"/>
      <c r="EL86" s="298"/>
      <c r="EM86" s="298"/>
      <c r="EN86" s="298"/>
      <c r="EO86" s="298"/>
      <c r="EP86" s="298"/>
      <c r="EQ86" s="298"/>
      <c r="ER86" s="298"/>
      <c r="ES86" s="298"/>
      <c r="ET86" s="298"/>
      <c r="EU86" s="298"/>
      <c r="EV86" s="298"/>
      <c r="EW86" s="298"/>
      <c r="EX86" s="298"/>
      <c r="EY86" s="298"/>
      <c r="EZ86" s="298"/>
      <c r="FA86" s="298"/>
      <c r="FB86" s="298"/>
      <c r="FC86" s="298"/>
      <c r="FD86" s="298"/>
      <c r="FE86" s="298"/>
      <c r="FF86" s="298"/>
      <c r="FG86" s="298"/>
      <c r="FH86" s="298"/>
      <c r="FI86" s="298"/>
      <c r="FJ86" s="298"/>
      <c r="FK86" s="298"/>
      <c r="FL86" s="298"/>
      <c r="FM86" s="298"/>
      <c r="FN86" s="298"/>
      <c r="FO86" s="298"/>
      <c r="FP86" s="298"/>
      <c r="FQ86" s="298"/>
      <c r="FR86" s="298"/>
      <c r="FS86" s="298"/>
      <c r="FT86" s="298"/>
      <c r="FU86" s="298"/>
      <c r="FV86" s="298"/>
      <c r="FW86" s="298"/>
      <c r="FX86" s="298"/>
      <c r="FY86" s="298"/>
      <c r="FZ86" s="298"/>
      <c r="GA86" s="298"/>
      <c r="GB86" s="298"/>
      <c r="GC86" s="298"/>
      <c r="GD86" s="298"/>
      <c r="GE86" s="298"/>
      <c r="GF86" s="298"/>
      <c r="GG86" s="298"/>
      <c r="GH86" s="298"/>
      <c r="GI86" s="298"/>
      <c r="GJ86" s="298"/>
      <c r="GK86" s="298"/>
      <c r="GL86" s="298"/>
      <c r="GM86" s="298"/>
      <c r="GN86" s="298"/>
      <c r="GO86" s="298"/>
      <c r="GP86" s="298"/>
      <c r="GQ86" s="298"/>
      <c r="GR86" s="298"/>
      <c r="GS86" s="298"/>
      <c r="GT86" s="298"/>
      <c r="GU86" s="298"/>
      <c r="GV86" s="298"/>
      <c r="GW86" s="298"/>
      <c r="GX86" s="298"/>
      <c r="GY86" s="298"/>
      <c r="GZ86" s="298"/>
      <c r="HA86" s="298"/>
      <c r="HB86" s="298"/>
      <c r="HC86" s="298"/>
      <c r="HD86" s="298"/>
      <c r="HE86" s="298"/>
      <c r="HF86" s="298"/>
      <c r="HG86" s="298"/>
      <c r="HH86" s="298"/>
      <c r="HI86" s="298"/>
      <c r="HJ86" s="298"/>
      <c r="HK86" s="298"/>
      <c r="HL86" s="298"/>
      <c r="HM86" s="298"/>
      <c r="HN86" s="298"/>
      <c r="HO86" s="298"/>
      <c r="HP86" s="298"/>
      <c r="HQ86" s="298"/>
      <c r="HR86" s="298"/>
      <c r="HS86" s="298"/>
      <c r="HT86" s="298"/>
      <c r="HU86" s="298"/>
      <c r="HV86" s="298"/>
      <c r="HW86" s="298"/>
      <c r="HX86" s="298"/>
      <c r="HY86" s="298"/>
      <c r="HZ86" s="298"/>
      <c r="IA86" s="298"/>
      <c r="IB86" s="298"/>
      <c r="IC86" s="298"/>
      <c r="ID86" s="298"/>
      <c r="IE86" s="298"/>
      <c r="IF86" s="298"/>
      <c r="IG86" s="298"/>
      <c r="IH86" s="298"/>
      <c r="II86" s="298"/>
      <c r="IJ86" s="298"/>
      <c r="IK86" s="298"/>
      <c r="IL86" s="298"/>
      <c r="IM86" s="298"/>
      <c r="IN86" s="298"/>
      <c r="IO86" s="298"/>
      <c r="IP86" s="298"/>
      <c r="IQ86" s="298"/>
      <c r="IR86" s="298"/>
      <c r="IS86" s="298"/>
      <c r="IT86" s="298"/>
      <c r="IU86" s="298"/>
      <c r="IV86" s="298"/>
    </row>
    <row r="87" spans="1:256" ht="30.75" customHeight="1">
      <c r="A87" s="296"/>
      <c r="B87" s="317"/>
      <c r="C87" s="317"/>
      <c r="D87" s="297"/>
      <c r="E87" s="297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  <c r="AN87" s="298"/>
      <c r="AO87" s="298"/>
      <c r="AP87" s="298"/>
      <c r="AQ87" s="298"/>
      <c r="AR87" s="298"/>
      <c r="AS87" s="298"/>
      <c r="AT87" s="298"/>
      <c r="AU87" s="298"/>
      <c r="AV87" s="298"/>
      <c r="AW87" s="298"/>
      <c r="AX87" s="298"/>
      <c r="AY87" s="298"/>
      <c r="AZ87" s="298"/>
      <c r="BA87" s="298"/>
      <c r="BB87" s="298"/>
      <c r="BC87" s="298"/>
      <c r="BD87" s="298"/>
      <c r="BE87" s="298"/>
      <c r="BF87" s="298"/>
      <c r="BG87" s="298"/>
      <c r="BH87" s="298"/>
      <c r="BI87" s="298"/>
      <c r="BJ87" s="298"/>
      <c r="BK87" s="298"/>
      <c r="BL87" s="298"/>
      <c r="BM87" s="298"/>
      <c r="BN87" s="298"/>
      <c r="BO87" s="298"/>
      <c r="BP87" s="298"/>
      <c r="BQ87" s="298"/>
      <c r="BR87" s="298"/>
      <c r="BS87" s="298"/>
      <c r="BT87" s="298"/>
      <c r="BU87" s="298"/>
      <c r="BV87" s="298"/>
      <c r="BW87" s="298"/>
      <c r="BX87" s="298"/>
      <c r="BY87" s="298"/>
      <c r="BZ87" s="298"/>
      <c r="CA87" s="298"/>
      <c r="CB87" s="298"/>
      <c r="CC87" s="298"/>
      <c r="CD87" s="298"/>
      <c r="CE87" s="298"/>
      <c r="CF87" s="298"/>
      <c r="CG87" s="298"/>
      <c r="CH87" s="298"/>
      <c r="CI87" s="298"/>
      <c r="CJ87" s="298"/>
      <c r="CK87" s="298"/>
      <c r="CL87" s="298"/>
      <c r="CM87" s="298"/>
      <c r="CN87" s="298"/>
      <c r="CO87" s="298"/>
      <c r="CP87" s="298"/>
      <c r="CQ87" s="298"/>
      <c r="CR87" s="298"/>
      <c r="CS87" s="298"/>
      <c r="CT87" s="298"/>
      <c r="CU87" s="298"/>
      <c r="CV87" s="298"/>
      <c r="CW87" s="298"/>
      <c r="CX87" s="298"/>
      <c r="CY87" s="298"/>
      <c r="CZ87" s="298"/>
      <c r="DA87" s="298"/>
      <c r="DB87" s="298"/>
      <c r="DC87" s="298"/>
      <c r="DD87" s="298"/>
      <c r="DE87" s="298"/>
      <c r="DF87" s="298"/>
      <c r="DG87" s="298"/>
      <c r="DH87" s="298"/>
      <c r="DI87" s="298"/>
      <c r="DJ87" s="298"/>
      <c r="DK87" s="298"/>
      <c r="DL87" s="298"/>
      <c r="DM87" s="298"/>
      <c r="DN87" s="298"/>
      <c r="DO87" s="298"/>
      <c r="DP87" s="298"/>
      <c r="DQ87" s="298"/>
      <c r="DR87" s="298"/>
      <c r="DS87" s="298"/>
      <c r="DT87" s="298"/>
      <c r="DU87" s="298"/>
      <c r="DV87" s="298"/>
      <c r="DW87" s="298"/>
      <c r="DX87" s="298"/>
      <c r="DY87" s="298"/>
      <c r="DZ87" s="298"/>
      <c r="EA87" s="298"/>
      <c r="EB87" s="298"/>
      <c r="EC87" s="298"/>
      <c r="ED87" s="298"/>
      <c r="EE87" s="298"/>
      <c r="EF87" s="298"/>
      <c r="EG87" s="298"/>
      <c r="EH87" s="298"/>
      <c r="EI87" s="298"/>
      <c r="EJ87" s="298"/>
      <c r="EK87" s="298"/>
      <c r="EL87" s="298"/>
      <c r="EM87" s="298"/>
      <c r="EN87" s="298"/>
      <c r="EO87" s="298"/>
      <c r="EP87" s="298"/>
      <c r="EQ87" s="298"/>
      <c r="ER87" s="298"/>
      <c r="ES87" s="298"/>
      <c r="ET87" s="298"/>
      <c r="EU87" s="298"/>
      <c r="EV87" s="298"/>
      <c r="EW87" s="298"/>
      <c r="EX87" s="298"/>
      <c r="EY87" s="298"/>
      <c r="EZ87" s="298"/>
      <c r="FA87" s="298"/>
      <c r="FB87" s="298"/>
      <c r="FC87" s="298"/>
      <c r="FD87" s="298"/>
      <c r="FE87" s="298"/>
      <c r="FF87" s="298"/>
      <c r="FG87" s="298"/>
      <c r="FH87" s="298"/>
      <c r="FI87" s="298"/>
      <c r="FJ87" s="298"/>
      <c r="FK87" s="298"/>
      <c r="FL87" s="298"/>
      <c r="FM87" s="298"/>
      <c r="FN87" s="298"/>
      <c r="FO87" s="298"/>
      <c r="FP87" s="298"/>
      <c r="FQ87" s="298"/>
      <c r="FR87" s="298"/>
      <c r="FS87" s="298"/>
      <c r="FT87" s="298"/>
      <c r="FU87" s="298"/>
      <c r="FV87" s="298"/>
      <c r="FW87" s="298"/>
      <c r="FX87" s="298"/>
      <c r="FY87" s="298"/>
      <c r="FZ87" s="298"/>
      <c r="GA87" s="298"/>
      <c r="GB87" s="298"/>
      <c r="GC87" s="298"/>
      <c r="GD87" s="298"/>
      <c r="GE87" s="298"/>
      <c r="GF87" s="298"/>
      <c r="GG87" s="298"/>
      <c r="GH87" s="298"/>
      <c r="GI87" s="298"/>
      <c r="GJ87" s="298"/>
      <c r="GK87" s="298"/>
      <c r="GL87" s="298"/>
      <c r="GM87" s="298"/>
      <c r="GN87" s="298"/>
      <c r="GO87" s="298"/>
      <c r="GP87" s="298"/>
      <c r="GQ87" s="298"/>
      <c r="GR87" s="298"/>
      <c r="GS87" s="298"/>
      <c r="GT87" s="298"/>
      <c r="GU87" s="298"/>
      <c r="GV87" s="298"/>
      <c r="GW87" s="298"/>
      <c r="GX87" s="298"/>
      <c r="GY87" s="298"/>
      <c r="GZ87" s="298"/>
      <c r="HA87" s="298"/>
      <c r="HB87" s="298"/>
      <c r="HC87" s="298"/>
      <c r="HD87" s="298"/>
      <c r="HE87" s="298"/>
      <c r="HF87" s="298"/>
      <c r="HG87" s="298"/>
      <c r="HH87" s="298"/>
      <c r="HI87" s="298"/>
      <c r="HJ87" s="298"/>
      <c r="HK87" s="298"/>
      <c r="HL87" s="298"/>
      <c r="HM87" s="298"/>
      <c r="HN87" s="298"/>
      <c r="HO87" s="298"/>
      <c r="HP87" s="298"/>
      <c r="HQ87" s="298"/>
      <c r="HR87" s="298"/>
      <c r="HS87" s="298"/>
      <c r="HT87" s="298"/>
      <c r="HU87" s="298"/>
      <c r="HV87" s="298"/>
      <c r="HW87" s="298"/>
      <c r="HX87" s="298"/>
      <c r="HY87" s="298"/>
      <c r="HZ87" s="298"/>
      <c r="IA87" s="298"/>
      <c r="IB87" s="298"/>
      <c r="IC87" s="298"/>
      <c r="ID87" s="298"/>
      <c r="IE87" s="298"/>
      <c r="IF87" s="298"/>
      <c r="IG87" s="298"/>
      <c r="IH87" s="298"/>
      <c r="II87" s="298"/>
      <c r="IJ87" s="298"/>
      <c r="IK87" s="298"/>
      <c r="IL87" s="298"/>
      <c r="IM87" s="298"/>
      <c r="IN87" s="298"/>
      <c r="IO87" s="298"/>
      <c r="IP87" s="298"/>
      <c r="IQ87" s="298"/>
      <c r="IR87" s="298"/>
      <c r="IS87" s="298"/>
      <c r="IT87" s="298"/>
      <c r="IU87" s="298"/>
      <c r="IV87" s="298"/>
    </row>
    <row r="88" spans="1:256" ht="30" customHeight="1">
      <c r="A88" s="296"/>
      <c r="B88" s="317"/>
      <c r="C88" s="296"/>
      <c r="D88" s="297"/>
      <c r="E88" s="297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8"/>
      <c r="AW88" s="298"/>
      <c r="AX88" s="298"/>
      <c r="AY88" s="298"/>
      <c r="AZ88" s="298"/>
      <c r="BA88" s="298"/>
      <c r="BB88" s="298"/>
      <c r="BC88" s="298"/>
      <c r="BD88" s="298"/>
      <c r="BE88" s="298"/>
      <c r="BF88" s="298"/>
      <c r="BG88" s="298"/>
      <c r="BH88" s="298"/>
      <c r="BI88" s="298"/>
      <c r="BJ88" s="298"/>
      <c r="BK88" s="298"/>
      <c r="BL88" s="298"/>
      <c r="BM88" s="298"/>
      <c r="BN88" s="298"/>
      <c r="BO88" s="298"/>
      <c r="BP88" s="298"/>
      <c r="BQ88" s="298"/>
      <c r="BR88" s="298"/>
      <c r="BS88" s="298"/>
      <c r="BT88" s="298"/>
      <c r="BU88" s="298"/>
      <c r="BV88" s="298"/>
      <c r="BW88" s="298"/>
      <c r="BX88" s="298"/>
      <c r="BY88" s="298"/>
      <c r="BZ88" s="298"/>
      <c r="CA88" s="298"/>
      <c r="CB88" s="298"/>
      <c r="CC88" s="298"/>
      <c r="CD88" s="298"/>
      <c r="CE88" s="298"/>
      <c r="CF88" s="298"/>
      <c r="CG88" s="298"/>
      <c r="CH88" s="298"/>
      <c r="CI88" s="298"/>
      <c r="CJ88" s="298"/>
      <c r="CK88" s="298"/>
      <c r="CL88" s="298"/>
      <c r="CM88" s="298"/>
      <c r="CN88" s="298"/>
      <c r="CO88" s="298"/>
      <c r="CP88" s="298"/>
      <c r="CQ88" s="298"/>
      <c r="CR88" s="298"/>
      <c r="CS88" s="298"/>
      <c r="CT88" s="298"/>
      <c r="CU88" s="298"/>
      <c r="CV88" s="298"/>
      <c r="CW88" s="298"/>
      <c r="CX88" s="298"/>
      <c r="CY88" s="298"/>
      <c r="CZ88" s="298"/>
      <c r="DA88" s="298"/>
      <c r="DB88" s="298"/>
      <c r="DC88" s="298"/>
      <c r="DD88" s="298"/>
      <c r="DE88" s="298"/>
      <c r="DF88" s="298"/>
      <c r="DG88" s="298"/>
      <c r="DH88" s="298"/>
      <c r="DI88" s="298"/>
      <c r="DJ88" s="298"/>
      <c r="DK88" s="298"/>
      <c r="DL88" s="298"/>
      <c r="DM88" s="298"/>
      <c r="DN88" s="298"/>
      <c r="DO88" s="298"/>
      <c r="DP88" s="298"/>
      <c r="DQ88" s="298"/>
      <c r="DR88" s="298"/>
      <c r="DS88" s="298"/>
      <c r="DT88" s="298"/>
      <c r="DU88" s="298"/>
      <c r="DV88" s="298"/>
      <c r="DW88" s="298"/>
      <c r="DX88" s="298"/>
      <c r="DY88" s="298"/>
      <c r="DZ88" s="298"/>
      <c r="EA88" s="298"/>
      <c r="EB88" s="298"/>
      <c r="EC88" s="298"/>
      <c r="ED88" s="298"/>
      <c r="EE88" s="298"/>
      <c r="EF88" s="298"/>
      <c r="EG88" s="298"/>
      <c r="EH88" s="298"/>
      <c r="EI88" s="298"/>
      <c r="EJ88" s="298"/>
      <c r="EK88" s="298"/>
      <c r="EL88" s="298"/>
      <c r="EM88" s="298"/>
      <c r="EN88" s="298"/>
      <c r="EO88" s="298"/>
      <c r="EP88" s="298"/>
      <c r="EQ88" s="298"/>
      <c r="ER88" s="298"/>
      <c r="ES88" s="298"/>
      <c r="ET88" s="298"/>
      <c r="EU88" s="298"/>
      <c r="EV88" s="298"/>
      <c r="EW88" s="298"/>
      <c r="EX88" s="298"/>
      <c r="EY88" s="298"/>
      <c r="EZ88" s="298"/>
      <c r="FA88" s="298"/>
      <c r="FB88" s="298"/>
      <c r="FC88" s="298"/>
      <c r="FD88" s="298"/>
      <c r="FE88" s="298"/>
      <c r="FF88" s="298"/>
      <c r="FG88" s="298"/>
      <c r="FH88" s="298"/>
      <c r="FI88" s="298"/>
      <c r="FJ88" s="298"/>
      <c r="FK88" s="298"/>
      <c r="FL88" s="298"/>
      <c r="FM88" s="298"/>
      <c r="FN88" s="298"/>
      <c r="FO88" s="298"/>
      <c r="FP88" s="298"/>
      <c r="FQ88" s="298"/>
      <c r="FR88" s="298"/>
      <c r="FS88" s="298"/>
      <c r="FT88" s="298"/>
      <c r="FU88" s="298"/>
      <c r="FV88" s="298"/>
      <c r="FW88" s="298"/>
      <c r="FX88" s="298"/>
      <c r="FY88" s="298"/>
      <c r="FZ88" s="298"/>
      <c r="GA88" s="298"/>
      <c r="GB88" s="298"/>
      <c r="GC88" s="298"/>
      <c r="GD88" s="298"/>
      <c r="GE88" s="298"/>
      <c r="GF88" s="298"/>
      <c r="GG88" s="298"/>
      <c r="GH88" s="298"/>
      <c r="GI88" s="298"/>
      <c r="GJ88" s="298"/>
      <c r="GK88" s="298"/>
      <c r="GL88" s="298"/>
      <c r="GM88" s="298"/>
      <c r="GN88" s="298"/>
      <c r="GO88" s="298"/>
      <c r="GP88" s="298"/>
      <c r="GQ88" s="298"/>
      <c r="GR88" s="298"/>
      <c r="GS88" s="298"/>
      <c r="GT88" s="298"/>
      <c r="GU88" s="298"/>
      <c r="GV88" s="298"/>
      <c r="GW88" s="298"/>
      <c r="GX88" s="298"/>
      <c r="GY88" s="298"/>
      <c r="GZ88" s="298"/>
      <c r="HA88" s="298"/>
      <c r="HB88" s="298"/>
      <c r="HC88" s="298"/>
      <c r="HD88" s="298"/>
      <c r="HE88" s="298"/>
      <c r="HF88" s="298"/>
      <c r="HG88" s="298"/>
      <c r="HH88" s="298"/>
      <c r="HI88" s="298"/>
      <c r="HJ88" s="298"/>
      <c r="HK88" s="298"/>
      <c r="HL88" s="298"/>
      <c r="HM88" s="298"/>
      <c r="HN88" s="298"/>
      <c r="HO88" s="298"/>
      <c r="HP88" s="298"/>
      <c r="HQ88" s="298"/>
      <c r="HR88" s="298"/>
      <c r="HS88" s="298"/>
      <c r="HT88" s="298"/>
      <c r="HU88" s="298"/>
      <c r="HV88" s="298"/>
      <c r="HW88" s="298"/>
      <c r="HX88" s="298"/>
      <c r="HY88" s="298"/>
      <c r="HZ88" s="298"/>
      <c r="IA88" s="298"/>
      <c r="IB88" s="298"/>
      <c r="IC88" s="298"/>
      <c r="ID88" s="298"/>
      <c r="IE88" s="298"/>
      <c r="IF88" s="298"/>
      <c r="IG88" s="298"/>
      <c r="IH88" s="298"/>
      <c r="II88" s="298"/>
      <c r="IJ88" s="298"/>
      <c r="IK88" s="298"/>
      <c r="IL88" s="298"/>
      <c r="IM88" s="298"/>
      <c r="IN88" s="298"/>
      <c r="IO88" s="298"/>
      <c r="IP88" s="298"/>
      <c r="IQ88" s="298"/>
      <c r="IR88" s="298"/>
      <c r="IS88" s="298"/>
      <c r="IT88" s="298"/>
      <c r="IU88" s="298"/>
      <c r="IV88" s="298"/>
    </row>
    <row r="89" spans="1:256" ht="15">
      <c r="A89" s="296"/>
      <c r="B89" s="317"/>
      <c r="C89" s="260"/>
      <c r="E89" s="297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  <c r="AN89" s="298"/>
      <c r="AO89" s="298"/>
      <c r="AP89" s="298"/>
      <c r="AQ89" s="298"/>
      <c r="AR89" s="298"/>
      <c r="AS89" s="298"/>
      <c r="AT89" s="298"/>
      <c r="AU89" s="298"/>
      <c r="AV89" s="298"/>
      <c r="AW89" s="298"/>
      <c r="AX89" s="298"/>
      <c r="AY89" s="298"/>
      <c r="AZ89" s="298"/>
      <c r="BA89" s="298"/>
      <c r="BB89" s="298"/>
      <c r="BC89" s="298"/>
      <c r="BD89" s="298"/>
      <c r="BE89" s="298"/>
      <c r="BF89" s="298"/>
      <c r="BG89" s="298"/>
      <c r="BH89" s="298"/>
      <c r="BI89" s="298"/>
      <c r="BJ89" s="298"/>
      <c r="BK89" s="298"/>
      <c r="BL89" s="298"/>
      <c r="BM89" s="298"/>
      <c r="BN89" s="298"/>
      <c r="BO89" s="298"/>
      <c r="BP89" s="298"/>
      <c r="BQ89" s="298"/>
      <c r="BR89" s="298"/>
      <c r="BS89" s="298"/>
      <c r="BT89" s="298"/>
      <c r="BU89" s="298"/>
      <c r="BV89" s="298"/>
      <c r="BW89" s="298"/>
      <c r="BX89" s="298"/>
      <c r="BY89" s="298"/>
      <c r="BZ89" s="298"/>
      <c r="CA89" s="298"/>
      <c r="CB89" s="298"/>
      <c r="CC89" s="298"/>
      <c r="CD89" s="298"/>
      <c r="CE89" s="298"/>
      <c r="CF89" s="298"/>
      <c r="CG89" s="298"/>
      <c r="CH89" s="298"/>
      <c r="CI89" s="298"/>
      <c r="CJ89" s="298"/>
      <c r="CK89" s="298"/>
      <c r="CL89" s="298"/>
      <c r="CM89" s="298"/>
      <c r="CN89" s="298"/>
      <c r="CO89" s="298"/>
      <c r="CP89" s="298"/>
      <c r="CQ89" s="298"/>
      <c r="CR89" s="298"/>
      <c r="CS89" s="298"/>
      <c r="CT89" s="298"/>
      <c r="CU89" s="298"/>
      <c r="CV89" s="298"/>
      <c r="CW89" s="298"/>
      <c r="CX89" s="298"/>
      <c r="CY89" s="298"/>
      <c r="CZ89" s="298"/>
      <c r="DA89" s="298"/>
      <c r="DB89" s="298"/>
      <c r="DC89" s="298"/>
      <c r="DD89" s="298"/>
      <c r="DE89" s="298"/>
      <c r="DF89" s="298"/>
      <c r="DG89" s="298"/>
      <c r="DH89" s="298"/>
      <c r="DI89" s="298"/>
      <c r="DJ89" s="298"/>
      <c r="DK89" s="298"/>
      <c r="DL89" s="298"/>
      <c r="DM89" s="298"/>
      <c r="DN89" s="298"/>
      <c r="DO89" s="298"/>
      <c r="DP89" s="298"/>
      <c r="DQ89" s="298"/>
      <c r="DR89" s="298"/>
      <c r="DS89" s="298"/>
      <c r="DT89" s="298"/>
      <c r="DU89" s="298"/>
      <c r="DV89" s="298"/>
      <c r="DW89" s="298"/>
      <c r="DX89" s="298"/>
      <c r="DY89" s="298"/>
      <c r="DZ89" s="298"/>
      <c r="EA89" s="298"/>
      <c r="EB89" s="298"/>
      <c r="EC89" s="298"/>
      <c r="ED89" s="298"/>
      <c r="EE89" s="298"/>
      <c r="EF89" s="298"/>
      <c r="EG89" s="298"/>
      <c r="EH89" s="298"/>
      <c r="EI89" s="298"/>
      <c r="EJ89" s="298"/>
      <c r="EK89" s="298"/>
      <c r="EL89" s="298"/>
      <c r="EM89" s="298"/>
      <c r="EN89" s="298"/>
      <c r="EO89" s="298"/>
      <c r="EP89" s="298"/>
      <c r="EQ89" s="298"/>
      <c r="ER89" s="298"/>
      <c r="ES89" s="298"/>
      <c r="ET89" s="298"/>
      <c r="EU89" s="298"/>
      <c r="EV89" s="298"/>
      <c r="EW89" s="298"/>
      <c r="EX89" s="298"/>
      <c r="EY89" s="298"/>
      <c r="EZ89" s="298"/>
      <c r="FA89" s="298"/>
      <c r="FB89" s="298"/>
      <c r="FC89" s="298"/>
      <c r="FD89" s="298"/>
      <c r="FE89" s="298"/>
      <c r="FF89" s="298"/>
      <c r="FG89" s="298"/>
      <c r="FH89" s="298"/>
      <c r="FI89" s="298"/>
      <c r="FJ89" s="298"/>
      <c r="FK89" s="298"/>
      <c r="FL89" s="298"/>
      <c r="FM89" s="298"/>
      <c r="FN89" s="298"/>
      <c r="FO89" s="298"/>
      <c r="FP89" s="298"/>
      <c r="FQ89" s="298"/>
      <c r="FR89" s="298"/>
      <c r="FS89" s="298"/>
      <c r="FT89" s="298"/>
      <c r="FU89" s="298"/>
      <c r="FV89" s="298"/>
      <c r="FW89" s="298"/>
      <c r="FX89" s="298"/>
      <c r="FY89" s="298"/>
      <c r="FZ89" s="298"/>
      <c r="GA89" s="298"/>
      <c r="GB89" s="298"/>
      <c r="GC89" s="298"/>
      <c r="GD89" s="298"/>
      <c r="GE89" s="298"/>
      <c r="GF89" s="298"/>
      <c r="GG89" s="298"/>
      <c r="GH89" s="298"/>
      <c r="GI89" s="298"/>
      <c r="GJ89" s="298"/>
      <c r="GK89" s="298"/>
      <c r="GL89" s="298"/>
      <c r="GM89" s="298"/>
      <c r="GN89" s="298"/>
      <c r="GO89" s="298"/>
      <c r="GP89" s="298"/>
      <c r="GQ89" s="298"/>
      <c r="GR89" s="298"/>
      <c r="GS89" s="298"/>
      <c r="GT89" s="298"/>
      <c r="GU89" s="298"/>
      <c r="GV89" s="298"/>
      <c r="GW89" s="298"/>
      <c r="GX89" s="298"/>
      <c r="GY89" s="298"/>
      <c r="GZ89" s="298"/>
      <c r="HA89" s="298"/>
      <c r="HB89" s="298"/>
      <c r="HC89" s="298"/>
      <c r="HD89" s="298"/>
      <c r="HE89" s="298"/>
      <c r="HF89" s="298"/>
      <c r="HG89" s="298"/>
      <c r="HH89" s="298"/>
      <c r="HI89" s="298"/>
      <c r="HJ89" s="298"/>
      <c r="HK89" s="298"/>
      <c r="HL89" s="298"/>
      <c r="HM89" s="298"/>
      <c r="HN89" s="298"/>
      <c r="HO89" s="298"/>
      <c r="HP89" s="298"/>
      <c r="HQ89" s="298"/>
      <c r="HR89" s="298"/>
      <c r="HS89" s="298"/>
      <c r="HT89" s="298"/>
      <c r="HU89" s="298"/>
      <c r="HV89" s="298"/>
      <c r="HW89" s="298"/>
      <c r="HX89" s="298"/>
      <c r="HY89" s="298"/>
      <c r="HZ89" s="298"/>
      <c r="IA89" s="298"/>
      <c r="IB89" s="298"/>
      <c r="IC89" s="298"/>
      <c r="ID89" s="298"/>
      <c r="IE89" s="298"/>
      <c r="IF89" s="298"/>
      <c r="IG89" s="298"/>
      <c r="IH89" s="298"/>
      <c r="II89" s="298"/>
      <c r="IJ89" s="298"/>
      <c r="IK89" s="298"/>
      <c r="IL89" s="298"/>
      <c r="IM89" s="298"/>
      <c r="IN89" s="298"/>
      <c r="IO89" s="298"/>
      <c r="IP89" s="298"/>
      <c r="IQ89" s="298"/>
      <c r="IR89" s="298"/>
      <c r="IS89" s="298"/>
      <c r="IT89" s="298"/>
      <c r="IU89" s="298"/>
      <c r="IV89" s="298"/>
    </row>
    <row r="90" spans="1:3" ht="15">
      <c r="A90" s="296"/>
      <c r="B90" s="317"/>
      <c r="C90" s="260"/>
    </row>
    <row r="91" spans="1:3" ht="15">
      <c r="A91" s="296"/>
      <c r="B91" s="317"/>
      <c r="C91" s="260"/>
    </row>
    <row r="92" spans="1:3" ht="15">
      <c r="A92" s="296"/>
      <c r="B92" s="317"/>
      <c r="C92" s="260"/>
    </row>
    <row r="93" spans="1:3" ht="15">
      <c r="A93" s="296"/>
      <c r="B93" s="317"/>
      <c r="C93" s="260"/>
    </row>
    <row r="94" spans="1:3" ht="15">
      <c r="A94" s="296"/>
      <c r="B94" s="297"/>
      <c r="C94" s="260"/>
    </row>
    <row r="95" spans="1:5" ht="15">
      <c r="A95" s="298"/>
      <c r="B95" s="297"/>
      <c r="C95" s="290"/>
      <c r="D95" s="260"/>
      <c r="E95" s="260"/>
    </row>
    <row r="96" spans="1:5" ht="15">
      <c r="A96" s="298"/>
      <c r="B96" s="297"/>
      <c r="C96" s="290"/>
      <c r="D96" s="260"/>
      <c r="E96" s="260"/>
    </row>
    <row r="97" spans="1:5" ht="15">
      <c r="A97" s="298"/>
      <c r="B97" s="297"/>
      <c r="C97" s="290"/>
      <c r="D97" s="260"/>
      <c r="E97" s="260"/>
    </row>
    <row r="98" spans="1:5" ht="15">
      <c r="A98" s="298"/>
      <c r="B98" s="297"/>
      <c r="C98" s="290"/>
      <c r="D98" s="260"/>
      <c r="E98" s="260"/>
    </row>
    <row r="99" spans="1:5" ht="15">
      <c r="A99" s="298"/>
      <c r="B99" s="297"/>
      <c r="C99" s="290"/>
      <c r="D99" s="260"/>
      <c r="E99" s="260"/>
    </row>
    <row r="100" spans="1:5" ht="15">
      <c r="A100" s="298"/>
      <c r="B100" s="297"/>
      <c r="C100" s="290"/>
      <c r="D100" s="260"/>
      <c r="E100" s="260"/>
    </row>
    <row r="101" spans="1:5" ht="15">
      <c r="A101" s="298"/>
      <c r="B101" s="297"/>
      <c r="C101" s="290"/>
      <c r="D101" s="260"/>
      <c r="E101" s="260"/>
    </row>
    <row r="102" spans="1:5" ht="15">
      <c r="A102" s="298"/>
      <c r="B102" s="297"/>
      <c r="C102" s="290"/>
      <c r="D102" s="260"/>
      <c r="E102" s="260"/>
    </row>
    <row r="103" spans="1:5" ht="15">
      <c r="A103" s="298"/>
      <c r="B103" s="297"/>
      <c r="C103" s="290"/>
      <c r="D103" s="260"/>
      <c r="E103" s="260"/>
    </row>
    <row r="104" spans="1:5" ht="15">
      <c r="A104" s="298"/>
      <c r="B104" s="297"/>
      <c r="C104" s="290"/>
      <c r="D104" s="260"/>
      <c r="E104" s="260"/>
    </row>
    <row r="105" spans="1:5" ht="15">
      <c r="A105" s="298"/>
      <c r="B105" s="297"/>
      <c r="C105" s="290"/>
      <c r="D105" s="260"/>
      <c r="E105" s="260"/>
    </row>
    <row r="106" spans="1:5" ht="15">
      <c r="A106" s="298"/>
      <c r="B106" s="297"/>
      <c r="C106" s="290"/>
      <c r="D106" s="260"/>
      <c r="E106" s="260"/>
    </row>
    <row r="107" spans="1:5" ht="15">
      <c r="A107" s="298"/>
      <c r="B107" s="297"/>
      <c r="C107" s="290"/>
      <c r="D107" s="260"/>
      <c r="E107" s="260"/>
    </row>
    <row r="108" spans="1:5" ht="15">
      <c r="A108" s="298"/>
      <c r="B108" s="297"/>
      <c r="C108" s="290"/>
      <c r="D108" s="260"/>
      <c r="E108" s="260"/>
    </row>
    <row r="109" spans="1:5" ht="15">
      <c r="A109" s="298"/>
      <c r="B109" s="297"/>
      <c r="C109" s="290"/>
      <c r="D109" s="260"/>
      <c r="E109" s="260"/>
    </row>
    <row r="110" spans="1:5" ht="15">
      <c r="A110" s="298"/>
      <c r="B110" s="297"/>
      <c r="C110" s="290"/>
      <c r="D110" s="260"/>
      <c r="E110" s="260"/>
    </row>
    <row r="111" spans="1:5" ht="15">
      <c r="A111" s="298"/>
      <c r="B111" s="297"/>
      <c r="C111" s="290"/>
      <c r="D111" s="260"/>
      <c r="E111" s="260"/>
    </row>
    <row r="112" spans="1:5" ht="15">
      <c r="A112" s="298"/>
      <c r="B112" s="297"/>
      <c r="C112" s="290"/>
      <c r="D112" s="260"/>
      <c r="E112" s="260"/>
    </row>
    <row r="113" spans="1:5" ht="15">
      <c r="A113" s="298"/>
      <c r="B113" s="297"/>
      <c r="C113" s="290"/>
      <c r="D113" s="260"/>
      <c r="E113" s="260"/>
    </row>
    <row r="114" spans="1:5" ht="15">
      <c r="A114" s="298"/>
      <c r="B114" s="297"/>
      <c r="C114" s="290"/>
      <c r="D114" s="260"/>
      <c r="E114" s="260"/>
    </row>
    <row r="115" spans="1:5" ht="15">
      <c r="A115" s="298"/>
      <c r="B115" s="297"/>
      <c r="C115" s="290"/>
      <c r="D115" s="260"/>
      <c r="E115" s="260"/>
    </row>
    <row r="116" spans="1:5" ht="15">
      <c r="A116" s="298"/>
      <c r="B116" s="297"/>
      <c r="C116" s="290"/>
      <c r="D116" s="260"/>
      <c r="E116" s="260"/>
    </row>
    <row r="117" spans="1:5" ht="15">
      <c r="A117" s="298"/>
      <c r="B117" s="297"/>
      <c r="C117" s="290"/>
      <c r="D117" s="260"/>
      <c r="E117" s="260"/>
    </row>
    <row r="118" spans="1:5" ht="15">
      <c r="A118" s="298"/>
      <c r="B118" s="297"/>
      <c r="C118" s="290"/>
      <c r="D118" s="260"/>
      <c r="E118" s="260"/>
    </row>
    <row r="119" spans="1:5" ht="15">
      <c r="A119" s="298"/>
      <c r="B119" s="297"/>
      <c r="C119" s="290"/>
      <c r="D119" s="260"/>
      <c r="E119" s="260"/>
    </row>
    <row r="120" spans="1:5" ht="15">
      <c r="A120" s="298"/>
      <c r="B120" s="297"/>
      <c r="C120" s="290"/>
      <c r="D120" s="260"/>
      <c r="E120" s="260"/>
    </row>
    <row r="121" spans="1:5" ht="15">
      <c r="A121" s="298"/>
      <c r="B121" s="297"/>
      <c r="C121" s="290"/>
      <c r="D121" s="260"/>
      <c r="E121" s="260"/>
    </row>
    <row r="122" spans="1:5" ht="15">
      <c r="A122" s="298"/>
      <c r="B122" s="297"/>
      <c r="C122" s="290"/>
      <c r="D122" s="260"/>
      <c r="E122" s="260"/>
    </row>
    <row r="123" spans="1:5" ht="15">
      <c r="A123" s="298"/>
      <c r="B123" s="297"/>
      <c r="C123" s="290"/>
      <c r="D123" s="260"/>
      <c r="E123" s="260"/>
    </row>
    <row r="124" spans="1:5" ht="15">
      <c r="A124" s="298"/>
      <c r="B124" s="297"/>
      <c r="C124" s="290"/>
      <c r="D124" s="260"/>
      <c r="E124" s="260"/>
    </row>
    <row r="125" spans="1:5" ht="15">
      <c r="A125" s="298"/>
      <c r="B125" s="297"/>
      <c r="C125" s="290"/>
      <c r="D125" s="260"/>
      <c r="E125" s="260"/>
    </row>
    <row r="126" spans="1:5" ht="15">
      <c r="A126" s="298"/>
      <c r="B126" s="297"/>
      <c r="C126" s="290"/>
      <c r="D126" s="260"/>
      <c r="E126" s="260"/>
    </row>
    <row r="127" spans="1:5" ht="15">
      <c r="A127" s="298"/>
      <c r="B127" s="297"/>
      <c r="C127" s="290"/>
      <c r="D127" s="260"/>
      <c r="E127" s="260"/>
    </row>
    <row r="128" spans="1:5" ht="15">
      <c r="A128" s="298"/>
      <c r="B128" s="297"/>
      <c r="C128" s="290"/>
      <c r="D128" s="260"/>
      <c r="E128" s="260"/>
    </row>
    <row r="129" spans="1:5" ht="15">
      <c r="A129" s="298"/>
      <c r="B129" s="297"/>
      <c r="C129" s="290"/>
      <c r="D129" s="260"/>
      <c r="E129" s="260"/>
    </row>
    <row r="130" spans="1:5" ht="15">
      <c r="A130" s="298"/>
      <c r="B130" s="297"/>
      <c r="C130" s="290"/>
      <c r="D130" s="260"/>
      <c r="E130" s="260"/>
    </row>
    <row r="131" spans="1:5" ht="15">
      <c r="A131" s="298"/>
      <c r="B131" s="297"/>
      <c r="C131" s="290"/>
      <c r="D131" s="260"/>
      <c r="E131" s="260"/>
    </row>
    <row r="132" spans="1:5" ht="15">
      <c r="A132" s="298"/>
      <c r="B132" s="297"/>
      <c r="C132" s="290"/>
      <c r="D132" s="260"/>
      <c r="E132" s="260"/>
    </row>
    <row r="133" spans="1:5" ht="15">
      <c r="A133" s="298"/>
      <c r="B133" s="297"/>
      <c r="C133" s="290"/>
      <c r="D133" s="260"/>
      <c r="E133" s="260"/>
    </row>
    <row r="134" spans="1:5" ht="15">
      <c r="A134" s="298"/>
      <c r="B134" s="297"/>
      <c r="C134" s="290"/>
      <c r="D134" s="260"/>
      <c r="E134" s="260"/>
    </row>
    <row r="135" spans="1:5" ht="15">
      <c r="A135" s="298"/>
      <c r="B135" s="297"/>
      <c r="C135" s="290"/>
      <c r="D135" s="260"/>
      <c r="E135" s="260"/>
    </row>
    <row r="136" spans="1:5" ht="15">
      <c r="A136" s="298"/>
      <c r="B136" s="297"/>
      <c r="C136" s="290"/>
      <c r="D136" s="260"/>
      <c r="E136" s="260"/>
    </row>
    <row r="137" spans="1:5" ht="15">
      <c r="A137" s="298"/>
      <c r="B137" s="297"/>
      <c r="C137" s="290"/>
      <c r="D137" s="260"/>
      <c r="E137" s="260"/>
    </row>
    <row r="138" spans="1:5" ht="15">
      <c r="A138" s="298"/>
      <c r="B138" s="297"/>
      <c r="C138" s="290"/>
      <c r="D138" s="260"/>
      <c r="E138" s="260"/>
    </row>
    <row r="139" spans="1:5" ht="15">
      <c r="A139" s="298"/>
      <c r="B139" s="297"/>
      <c r="C139" s="290"/>
      <c r="D139" s="260"/>
      <c r="E139" s="260"/>
    </row>
    <row r="140" spans="1:5" ht="15">
      <c r="A140" s="298"/>
      <c r="B140" s="297"/>
      <c r="C140" s="290"/>
      <c r="D140" s="260"/>
      <c r="E140" s="260"/>
    </row>
    <row r="141" spans="1:5" ht="15">
      <c r="A141" s="298"/>
      <c r="B141" s="297"/>
      <c r="C141" s="290"/>
      <c r="D141" s="260"/>
      <c r="E141" s="260"/>
    </row>
    <row r="142" spans="1:5" ht="15">
      <c r="A142" s="298"/>
      <c r="B142" s="297"/>
      <c r="C142" s="290"/>
      <c r="D142" s="260"/>
      <c r="E142" s="260"/>
    </row>
    <row r="143" spans="1:5" ht="15">
      <c r="A143" s="298"/>
      <c r="B143" s="297"/>
      <c r="C143" s="290"/>
      <c r="D143" s="260"/>
      <c r="E143" s="260"/>
    </row>
    <row r="144" spans="1:5" ht="15">
      <c r="A144" s="298"/>
      <c r="B144" s="297"/>
      <c r="C144" s="290"/>
      <c r="D144" s="260"/>
      <c r="E144" s="260"/>
    </row>
    <row r="145" spans="1:5" ht="15">
      <c r="A145" s="298"/>
      <c r="B145" s="297"/>
      <c r="C145" s="290"/>
      <c r="D145" s="260"/>
      <c r="E145" s="260"/>
    </row>
    <row r="146" spans="1:5" ht="15">
      <c r="A146" s="298"/>
      <c r="B146" s="297"/>
      <c r="C146" s="290"/>
      <c r="D146" s="260"/>
      <c r="E146" s="260"/>
    </row>
    <row r="147" spans="1:5" ht="15">
      <c r="A147" s="298"/>
      <c r="B147" s="297"/>
      <c r="C147" s="290"/>
      <c r="D147" s="260"/>
      <c r="E147" s="260"/>
    </row>
    <row r="148" spans="1:5" ht="15">
      <c r="A148" s="298"/>
      <c r="B148" s="297"/>
      <c r="C148" s="290"/>
      <c r="D148" s="260"/>
      <c r="E148" s="260"/>
    </row>
    <row r="149" spans="1:5" ht="15">
      <c r="A149" s="298"/>
      <c r="B149" s="297"/>
      <c r="C149" s="290"/>
      <c r="D149" s="260"/>
      <c r="E149" s="260"/>
    </row>
    <row r="150" spans="1:5" ht="15">
      <c r="A150" s="298"/>
      <c r="B150" s="297"/>
      <c r="C150" s="290"/>
      <c r="D150" s="260"/>
      <c r="E150" s="260"/>
    </row>
    <row r="151" spans="1:5" ht="15">
      <c r="A151" s="298"/>
      <c r="B151" s="297"/>
      <c r="C151" s="290"/>
      <c r="D151" s="260"/>
      <c r="E151" s="260"/>
    </row>
    <row r="152" spans="1:5" ht="15">
      <c r="A152" s="298"/>
      <c r="B152" s="297"/>
      <c r="C152" s="290"/>
      <c r="D152" s="260"/>
      <c r="E152" s="260"/>
    </row>
    <row r="153" spans="1:5" ht="15">
      <c r="A153" s="298"/>
      <c r="B153" s="297"/>
      <c r="C153" s="290"/>
      <c r="D153" s="260"/>
      <c r="E153" s="260"/>
    </row>
    <row r="154" spans="1:5" ht="15">
      <c r="A154" s="298"/>
      <c r="B154" s="297"/>
      <c r="C154" s="290"/>
      <c r="D154" s="260"/>
      <c r="E154" s="260"/>
    </row>
    <row r="155" spans="1:5" ht="15">
      <c r="A155" s="298"/>
      <c r="B155" s="297"/>
      <c r="C155" s="290"/>
      <c r="D155" s="260"/>
      <c r="E155" s="260"/>
    </row>
    <row r="156" spans="1:5" ht="15">
      <c r="A156" s="298"/>
      <c r="B156" s="297"/>
      <c r="C156" s="290"/>
      <c r="D156" s="260"/>
      <c r="E156" s="260"/>
    </row>
    <row r="157" spans="1:5" ht="15">
      <c r="A157" s="298"/>
      <c r="B157" s="297"/>
      <c r="C157" s="290"/>
      <c r="D157" s="260"/>
      <c r="E157" s="260"/>
    </row>
    <row r="158" spans="1:5" ht="15">
      <c r="A158" s="298"/>
      <c r="B158" s="297"/>
      <c r="C158" s="290"/>
      <c r="D158" s="260"/>
      <c r="E158" s="260"/>
    </row>
    <row r="159" spans="1:5" ht="15">
      <c r="A159" s="298"/>
      <c r="B159" s="297"/>
      <c r="C159" s="290"/>
      <c r="D159" s="260"/>
      <c r="E159" s="260"/>
    </row>
    <row r="160" spans="1:5" ht="15">
      <c r="A160" s="298"/>
      <c r="B160" s="297"/>
      <c r="C160" s="290"/>
      <c r="D160" s="260"/>
      <c r="E160" s="260"/>
    </row>
    <row r="161" spans="1:5" ht="15">
      <c r="A161" s="298"/>
      <c r="B161" s="297"/>
      <c r="C161" s="290"/>
      <c r="D161" s="260"/>
      <c r="E161" s="260"/>
    </row>
    <row r="162" spans="1:5" ht="15">
      <c r="A162" s="298"/>
      <c r="B162" s="297"/>
      <c r="C162" s="290"/>
      <c r="D162" s="260"/>
      <c r="E162" s="260"/>
    </row>
    <row r="163" spans="1:5" ht="15">
      <c r="A163" s="298"/>
      <c r="B163" s="297"/>
      <c r="C163" s="290"/>
      <c r="D163" s="260"/>
      <c r="E163" s="260"/>
    </row>
    <row r="164" spans="1:5" ht="15">
      <c r="A164" s="298"/>
      <c r="B164" s="297"/>
      <c r="C164" s="290"/>
      <c r="D164" s="260"/>
      <c r="E164" s="260"/>
    </row>
    <row r="165" spans="1:5" ht="15">
      <c r="A165" s="298"/>
      <c r="B165" s="297"/>
      <c r="C165" s="290"/>
      <c r="D165" s="260"/>
      <c r="E165" s="260"/>
    </row>
    <row r="166" spans="1:5" ht="15">
      <c r="A166" s="298"/>
      <c r="B166" s="297"/>
      <c r="C166" s="290"/>
      <c r="D166" s="260"/>
      <c r="E166" s="260"/>
    </row>
    <row r="167" spans="1:5" ht="15">
      <c r="A167" s="298"/>
      <c r="B167" s="297"/>
      <c r="C167" s="290"/>
      <c r="D167" s="260"/>
      <c r="E167" s="260"/>
    </row>
    <row r="168" spans="1:5" ht="15">
      <c r="A168" s="298"/>
      <c r="B168" s="297"/>
      <c r="C168" s="290"/>
      <c r="D168" s="260"/>
      <c r="E168" s="260"/>
    </row>
    <row r="169" spans="1:5" ht="15">
      <c r="A169" s="298"/>
      <c r="B169" s="297"/>
      <c r="C169" s="290"/>
      <c r="D169" s="260"/>
      <c r="E169" s="260"/>
    </row>
    <row r="170" spans="1:5" ht="15">
      <c r="A170" s="298"/>
      <c r="B170" s="297"/>
      <c r="C170" s="290"/>
      <c r="D170" s="260"/>
      <c r="E170" s="260"/>
    </row>
    <row r="171" spans="1:5" ht="15">
      <c r="A171" s="298"/>
      <c r="B171" s="297"/>
      <c r="C171" s="290"/>
      <c r="D171" s="260"/>
      <c r="E171" s="260"/>
    </row>
    <row r="172" spans="1:5" ht="15">
      <c r="A172" s="298"/>
      <c r="B172" s="297"/>
      <c r="C172" s="290"/>
      <c r="D172" s="260"/>
      <c r="E172" s="260"/>
    </row>
    <row r="173" spans="1:5" ht="15">
      <c r="A173" s="298"/>
      <c r="B173" s="297"/>
      <c r="C173" s="290"/>
      <c r="D173" s="260"/>
      <c r="E173" s="260"/>
    </row>
    <row r="174" spans="1:5" ht="15">
      <c r="A174" s="298"/>
      <c r="B174" s="297"/>
      <c r="C174" s="290"/>
      <c r="D174" s="260"/>
      <c r="E174" s="260"/>
    </row>
    <row r="175" spans="1:5" ht="15">
      <c r="A175" s="298"/>
      <c r="B175" s="297"/>
      <c r="C175" s="290"/>
      <c r="D175" s="260"/>
      <c r="E175" s="260"/>
    </row>
    <row r="176" spans="1:5" ht="15">
      <c r="A176" s="298"/>
      <c r="B176" s="297"/>
      <c r="C176" s="290"/>
      <c r="D176" s="260"/>
      <c r="E176" s="260"/>
    </row>
    <row r="177" spans="1:5" ht="15">
      <c r="A177" s="298"/>
      <c r="B177" s="297"/>
      <c r="C177" s="290"/>
      <c r="D177" s="260"/>
      <c r="E177" s="260"/>
    </row>
    <row r="178" spans="1:5" ht="15">
      <c r="A178" s="298"/>
      <c r="B178" s="290"/>
      <c r="C178" s="290"/>
      <c r="D178" s="260"/>
      <c r="E178" s="260"/>
    </row>
    <row r="179" spans="1:5" ht="12.75">
      <c r="A179" s="260"/>
      <c r="B179" s="290"/>
      <c r="C179" s="290"/>
      <c r="D179" s="260"/>
      <c r="E179" s="260"/>
    </row>
    <row r="180" spans="1:5" ht="12.75">
      <c r="A180" s="260"/>
      <c r="B180" s="290"/>
      <c r="C180" s="290"/>
      <c r="D180" s="260"/>
      <c r="E180" s="260"/>
    </row>
    <row r="181" spans="1:5" ht="12.75">
      <c r="A181" s="260"/>
      <c r="B181" s="290"/>
      <c r="C181" s="290"/>
      <c r="D181" s="260"/>
      <c r="E181" s="260"/>
    </row>
    <row r="182" spans="1:5" ht="12.75">
      <c r="A182" s="260"/>
      <c r="B182" s="290"/>
      <c r="C182" s="290"/>
      <c r="D182" s="260"/>
      <c r="E182" s="260"/>
    </row>
    <row r="183" spans="1:5" ht="12.75">
      <c r="A183" s="260"/>
      <c r="B183" s="290"/>
      <c r="C183" s="290"/>
      <c r="D183" s="260"/>
      <c r="E183" s="260"/>
    </row>
    <row r="184" spans="1:5" ht="12.75">
      <c r="A184" s="260"/>
      <c r="B184" s="290"/>
      <c r="C184" s="290"/>
      <c r="D184" s="260"/>
      <c r="E184" s="260"/>
    </row>
    <row r="185" spans="1:5" ht="12.75">
      <c r="A185" s="260"/>
      <c r="B185" s="290"/>
      <c r="C185" s="290"/>
      <c r="D185" s="260"/>
      <c r="E185" s="260"/>
    </row>
    <row r="186" spans="1:5" ht="12.75">
      <c r="A186" s="260"/>
      <c r="B186" s="290"/>
      <c r="C186" s="290"/>
      <c r="D186" s="260"/>
      <c r="E186" s="260"/>
    </row>
    <row r="187" spans="1:5" ht="12.75">
      <c r="A187" s="260"/>
      <c r="B187" s="290"/>
      <c r="C187" s="290"/>
      <c r="D187" s="260"/>
      <c r="E187" s="260"/>
    </row>
    <row r="188" spans="1:5" ht="12.75">
      <c r="A188" s="260"/>
      <c r="B188" s="290"/>
      <c r="C188" s="290"/>
      <c r="D188" s="260"/>
      <c r="E188" s="260"/>
    </row>
    <row r="189" spans="1:5" ht="12.75">
      <c r="A189" s="260"/>
      <c r="B189" s="290"/>
      <c r="C189" s="290"/>
      <c r="D189" s="260"/>
      <c r="E189" s="260"/>
    </row>
    <row r="190" spans="1:5" ht="12.75">
      <c r="A190" s="260"/>
      <c r="B190" s="290"/>
      <c r="C190" s="290"/>
      <c r="D190" s="260"/>
      <c r="E190" s="260"/>
    </row>
    <row r="191" spans="1:5" ht="12.75">
      <c r="A191" s="260"/>
      <c r="B191" s="290"/>
      <c r="C191" s="290"/>
      <c r="D191" s="260"/>
      <c r="E191" s="260"/>
    </row>
    <row r="192" spans="1:5" ht="12.75">
      <c r="A192" s="260"/>
      <c r="B192" s="290"/>
      <c r="C192" s="290"/>
      <c r="D192" s="260"/>
      <c r="E192" s="260"/>
    </row>
    <row r="193" spans="1:5" ht="12.75">
      <c r="A193" s="260"/>
      <c r="B193" s="290"/>
      <c r="C193" s="290"/>
      <c r="D193" s="260"/>
      <c r="E193" s="260"/>
    </row>
    <row r="194" spans="1:5" ht="12.75">
      <c r="A194" s="260"/>
      <c r="B194" s="290"/>
      <c r="C194" s="290"/>
      <c r="D194" s="260"/>
      <c r="E194" s="260"/>
    </row>
    <row r="195" spans="1:5" ht="12.75">
      <c r="A195" s="260"/>
      <c r="B195" s="290"/>
      <c r="C195" s="290"/>
      <c r="D195" s="260"/>
      <c r="E195" s="260"/>
    </row>
    <row r="196" spans="1:5" ht="12.75">
      <c r="A196" s="260"/>
      <c r="B196" s="290"/>
      <c r="C196" s="290"/>
      <c r="D196" s="260"/>
      <c r="E196" s="260"/>
    </row>
    <row r="197" spans="1:5" ht="12.75">
      <c r="A197" s="260"/>
      <c r="B197" s="290"/>
      <c r="C197" s="290"/>
      <c r="D197" s="260"/>
      <c r="E197" s="260"/>
    </row>
    <row r="198" spans="1:5" ht="12.75">
      <c r="A198" s="260"/>
      <c r="B198" s="290"/>
      <c r="C198" s="290"/>
      <c r="D198" s="260"/>
      <c r="E198" s="260"/>
    </row>
    <row r="199" spans="1:5" ht="12.75">
      <c r="A199" s="260"/>
      <c r="B199" s="290"/>
      <c r="C199" s="290"/>
      <c r="D199" s="260"/>
      <c r="E199" s="260"/>
    </row>
    <row r="200" spans="1:5" ht="12.75">
      <c r="A200" s="260"/>
      <c r="B200" s="290"/>
      <c r="C200" s="290"/>
      <c r="D200" s="260"/>
      <c r="E200" s="260"/>
    </row>
    <row r="201" spans="1:5" ht="12.75">
      <c r="A201" s="260"/>
      <c r="B201" s="290"/>
      <c r="C201" s="290"/>
      <c r="D201" s="260"/>
      <c r="E201" s="260"/>
    </row>
    <row r="202" spans="1:5" ht="12.75">
      <c r="A202" s="260"/>
      <c r="B202" s="290"/>
      <c r="C202" s="290"/>
      <c r="D202" s="260"/>
      <c r="E202" s="260"/>
    </row>
    <row r="203" spans="1:5" ht="12.75">
      <c r="A203" s="260"/>
      <c r="B203" s="290"/>
      <c r="C203" s="290"/>
      <c r="D203" s="260"/>
      <c r="E203" s="260"/>
    </row>
    <row r="204" spans="1:5" ht="12.75">
      <c r="A204" s="260"/>
      <c r="B204" s="290"/>
      <c r="C204" s="290"/>
      <c r="D204" s="260"/>
      <c r="E204" s="260"/>
    </row>
    <row r="205" spans="1:5" ht="12.75">
      <c r="A205" s="260"/>
      <c r="B205" s="290"/>
      <c r="C205" s="290"/>
      <c r="D205" s="260"/>
      <c r="E205" s="260"/>
    </row>
    <row r="206" spans="1:5" ht="12.75">
      <c r="A206" s="260"/>
      <c r="B206" s="290"/>
      <c r="C206" s="290"/>
      <c r="D206" s="260"/>
      <c r="E206" s="260"/>
    </row>
    <row r="207" spans="1:5" ht="12.75">
      <c r="A207" s="260"/>
      <c r="B207" s="290"/>
      <c r="C207" s="290"/>
      <c r="D207" s="260"/>
      <c r="E207" s="260"/>
    </row>
    <row r="208" spans="1:5" ht="12.75">
      <c r="A208" s="260"/>
      <c r="B208" s="290"/>
      <c r="C208" s="290"/>
      <c r="D208" s="260"/>
      <c r="E208" s="260"/>
    </row>
    <row r="209" spans="1:5" ht="12.75">
      <c r="A209" s="260"/>
      <c r="B209" s="290"/>
      <c r="C209" s="290"/>
      <c r="D209" s="260"/>
      <c r="E209" s="260"/>
    </row>
    <row r="210" spans="1:5" ht="12.75">
      <c r="A210" s="260"/>
      <c r="B210" s="290"/>
      <c r="C210" s="290"/>
      <c r="D210" s="260"/>
      <c r="E210" s="260"/>
    </row>
    <row r="211" spans="1:5" ht="12.75">
      <c r="A211" s="260"/>
      <c r="B211" s="290"/>
      <c r="C211" s="290"/>
      <c r="D211" s="260"/>
      <c r="E211" s="260"/>
    </row>
    <row r="212" spans="1:5" ht="12.75">
      <c r="A212" s="260"/>
      <c r="B212" s="290"/>
      <c r="C212" s="290"/>
      <c r="D212" s="260"/>
      <c r="E212" s="260"/>
    </row>
    <row r="213" spans="1:5" ht="12.75">
      <c r="A213" s="260"/>
      <c r="B213" s="290"/>
      <c r="C213" s="290"/>
      <c r="D213" s="260"/>
      <c r="E213" s="260"/>
    </row>
    <row r="214" spans="1:5" ht="12.75">
      <c r="A214" s="260"/>
      <c r="B214" s="290"/>
      <c r="C214" s="290"/>
      <c r="D214" s="260"/>
      <c r="E214" s="260"/>
    </row>
    <row r="215" spans="1:5" ht="12.75">
      <c r="A215" s="260"/>
      <c r="B215" s="290"/>
      <c r="C215" s="290"/>
      <c r="D215" s="260"/>
      <c r="E215" s="260"/>
    </row>
    <row r="216" spans="1:5" ht="12.75">
      <c r="A216" s="260"/>
      <c r="B216" s="290"/>
      <c r="C216" s="290"/>
      <c r="D216" s="260"/>
      <c r="E216" s="260"/>
    </row>
    <row r="217" spans="1:5" ht="12.75">
      <c r="A217" s="260"/>
      <c r="B217" s="290"/>
      <c r="C217" s="290"/>
      <c r="D217" s="260"/>
      <c r="E217" s="260"/>
    </row>
    <row r="218" spans="1:5" ht="12.75">
      <c r="A218" s="260"/>
      <c r="B218" s="290"/>
      <c r="C218" s="290"/>
      <c r="D218" s="260"/>
      <c r="E218" s="260"/>
    </row>
    <row r="219" spans="1:5" ht="12.75">
      <c r="A219" s="260"/>
      <c r="B219" s="290"/>
      <c r="C219" s="290"/>
      <c r="D219" s="260"/>
      <c r="E219" s="260"/>
    </row>
    <row r="220" spans="1:5" ht="12.75">
      <c r="A220" s="260"/>
      <c r="B220" s="290"/>
      <c r="C220" s="290"/>
      <c r="D220" s="260"/>
      <c r="E220" s="260"/>
    </row>
    <row r="221" spans="1:5" ht="12.75">
      <c r="A221" s="260"/>
      <c r="B221" s="290"/>
      <c r="C221" s="290"/>
      <c r="D221" s="260"/>
      <c r="E221" s="260"/>
    </row>
    <row r="222" spans="1:5" ht="12.75">
      <c r="A222" s="260"/>
      <c r="B222" s="290"/>
      <c r="C222" s="290"/>
      <c r="D222" s="260"/>
      <c r="E222" s="260"/>
    </row>
    <row r="223" spans="1:5" ht="12.75">
      <c r="A223" s="260"/>
      <c r="B223" s="290"/>
      <c r="C223" s="290"/>
      <c r="D223" s="260"/>
      <c r="E223" s="260"/>
    </row>
    <row r="224" spans="1:5" ht="12.75">
      <c r="A224" s="260"/>
      <c r="B224" s="290"/>
      <c r="C224" s="290"/>
      <c r="D224" s="260"/>
      <c r="E224" s="260"/>
    </row>
    <row r="225" spans="1:5" ht="12.75">
      <c r="A225" s="260"/>
      <c r="B225" s="290"/>
      <c r="C225" s="290"/>
      <c r="D225" s="260"/>
      <c r="E225" s="260"/>
    </row>
    <row r="226" spans="1:5" ht="12.75">
      <c r="A226" s="260"/>
      <c r="B226" s="290"/>
      <c r="C226" s="290"/>
      <c r="D226" s="260"/>
      <c r="E226" s="260"/>
    </row>
    <row r="227" spans="1:5" ht="12.75">
      <c r="A227" s="260"/>
      <c r="B227" s="290"/>
      <c r="C227" s="290"/>
      <c r="D227" s="260"/>
      <c r="E227" s="260"/>
    </row>
    <row r="228" spans="1:5" ht="12.75">
      <c r="A228" s="260"/>
      <c r="B228" s="290"/>
      <c r="C228" s="290"/>
      <c r="D228" s="260"/>
      <c r="E228" s="260"/>
    </row>
    <row r="229" spans="1:5" ht="12.75">
      <c r="A229" s="260"/>
      <c r="B229" s="290"/>
      <c r="C229" s="290"/>
      <c r="D229" s="260"/>
      <c r="E229" s="260"/>
    </row>
    <row r="230" spans="1:5" ht="12.75">
      <c r="A230" s="260"/>
      <c r="B230" s="290"/>
      <c r="C230" s="290"/>
      <c r="D230" s="260"/>
      <c r="E230" s="260"/>
    </row>
    <row r="231" spans="1:5" ht="12.75">
      <c r="A231" s="260"/>
      <c r="B231" s="290"/>
      <c r="C231" s="290"/>
      <c r="D231" s="260"/>
      <c r="E231" s="260"/>
    </row>
    <row r="232" spans="1:5" ht="12.75">
      <c r="A232" s="260"/>
      <c r="B232" s="290"/>
      <c r="C232" s="290"/>
      <c r="D232" s="260"/>
      <c r="E232" s="260"/>
    </row>
    <row r="233" spans="1:5" ht="12.75">
      <c r="A233" s="260"/>
      <c r="B233" s="290"/>
      <c r="C233" s="290"/>
      <c r="D233" s="260"/>
      <c r="E233" s="260"/>
    </row>
    <row r="234" spans="1:5" ht="12.75">
      <c r="A234" s="260"/>
      <c r="B234" s="290"/>
      <c r="C234" s="290"/>
      <c r="D234" s="260"/>
      <c r="E234" s="260"/>
    </row>
    <row r="235" spans="1:5" ht="12.75">
      <c r="A235" s="260"/>
      <c r="B235" s="290"/>
      <c r="C235" s="290"/>
      <c r="D235" s="260"/>
      <c r="E235" s="260"/>
    </row>
    <row r="236" spans="1:5" ht="12.75">
      <c r="A236" s="260"/>
      <c r="B236" s="290"/>
      <c r="C236" s="290"/>
      <c r="D236" s="260"/>
      <c r="E236" s="260"/>
    </row>
    <row r="237" spans="1:5" ht="12.75">
      <c r="A237" s="260"/>
      <c r="B237" s="290"/>
      <c r="C237" s="290"/>
      <c r="D237" s="260"/>
      <c r="E237" s="260"/>
    </row>
    <row r="238" spans="1:5" ht="12.75">
      <c r="A238" s="260"/>
      <c r="B238" s="290"/>
      <c r="C238" s="290"/>
      <c r="D238" s="260"/>
      <c r="E238" s="260"/>
    </row>
    <row r="239" spans="1:5" ht="12.75">
      <c r="A239" s="260"/>
      <c r="B239" s="290"/>
      <c r="C239" s="290"/>
      <c r="D239" s="260"/>
      <c r="E239" s="260"/>
    </row>
    <row r="240" spans="1:5" ht="12.75">
      <c r="A240" s="260"/>
      <c r="B240" s="290"/>
      <c r="C240" s="290"/>
      <c r="D240" s="260"/>
      <c r="E240" s="260"/>
    </row>
    <row r="241" spans="1:5" ht="12.75">
      <c r="A241" s="260"/>
      <c r="B241" s="290"/>
      <c r="C241" s="290"/>
      <c r="D241" s="260"/>
      <c r="E241" s="260"/>
    </row>
    <row r="242" spans="1:5" ht="12.75">
      <c r="A242" s="260"/>
      <c r="B242" s="290"/>
      <c r="C242" s="290"/>
      <c r="D242" s="260"/>
      <c r="E242" s="260"/>
    </row>
    <row r="243" spans="1:5" ht="12.75">
      <c r="A243" s="260"/>
      <c r="B243" s="290"/>
      <c r="C243" s="290"/>
      <c r="D243" s="260"/>
      <c r="E243" s="260"/>
    </row>
    <row r="244" spans="1:5" ht="12.75">
      <c r="A244" s="260"/>
      <c r="B244" s="290"/>
      <c r="C244" s="290"/>
      <c r="D244" s="260"/>
      <c r="E244" s="260"/>
    </row>
    <row r="245" spans="1:5" ht="12.75">
      <c r="A245" s="260"/>
      <c r="B245" s="290"/>
      <c r="C245" s="290"/>
      <c r="D245" s="260"/>
      <c r="E245" s="260"/>
    </row>
    <row r="246" spans="1:5" ht="12.75">
      <c r="A246" s="260"/>
      <c r="B246" s="290"/>
      <c r="C246" s="290"/>
      <c r="D246" s="260"/>
      <c r="E246" s="260"/>
    </row>
    <row r="247" spans="1:5" ht="12.75">
      <c r="A247" s="260"/>
      <c r="B247" s="290"/>
      <c r="C247" s="290"/>
      <c r="D247" s="260"/>
      <c r="E247" s="260"/>
    </row>
    <row r="248" spans="1:5" ht="12.75">
      <c r="A248" s="260"/>
      <c r="B248" s="290"/>
      <c r="C248" s="290"/>
      <c r="D248" s="260"/>
      <c r="E248" s="260"/>
    </row>
    <row r="249" spans="1:5" ht="12.75">
      <c r="A249" s="260"/>
      <c r="B249" s="290"/>
      <c r="C249" s="290"/>
      <c r="D249" s="260"/>
      <c r="E249" s="260"/>
    </row>
    <row r="250" spans="1:5" ht="12.75">
      <c r="A250" s="260"/>
      <c r="B250" s="290"/>
      <c r="C250" s="290"/>
      <c r="D250" s="260"/>
      <c r="E250" s="260"/>
    </row>
    <row r="251" spans="1:5" ht="12.75">
      <c r="A251" s="260"/>
      <c r="B251" s="290"/>
      <c r="C251" s="290"/>
      <c r="D251" s="260"/>
      <c r="E251" s="260"/>
    </row>
    <row r="252" spans="1:5" ht="12.75">
      <c r="A252" s="260"/>
      <c r="B252" s="290"/>
      <c r="C252" s="290"/>
      <c r="D252" s="260"/>
      <c r="E252" s="260"/>
    </row>
    <row r="253" spans="1:5" ht="12.75">
      <c r="A253" s="260"/>
      <c r="B253" s="290"/>
      <c r="C253" s="290"/>
      <c r="D253" s="260"/>
      <c r="E253" s="260"/>
    </row>
    <row r="254" spans="1:5" ht="12.75">
      <c r="A254" s="260"/>
      <c r="B254" s="290"/>
      <c r="C254" s="290"/>
      <c r="D254" s="260"/>
      <c r="E254" s="260"/>
    </row>
    <row r="255" spans="1:5" ht="12.75">
      <c r="A255" s="260"/>
      <c r="B255" s="290"/>
      <c r="C255" s="290"/>
      <c r="D255" s="260"/>
      <c r="E255" s="260"/>
    </row>
    <row r="256" spans="1:5" ht="12.75">
      <c r="A256" s="260"/>
      <c r="B256" s="290"/>
      <c r="C256" s="290"/>
      <c r="D256" s="260"/>
      <c r="E256" s="260"/>
    </row>
    <row r="257" spans="1:5" ht="12.75">
      <c r="A257" s="260"/>
      <c r="B257" s="290"/>
      <c r="C257" s="290"/>
      <c r="D257" s="260"/>
      <c r="E257" s="260"/>
    </row>
    <row r="258" spans="1:5" ht="12.75">
      <c r="A258" s="260"/>
      <c r="B258" s="290"/>
      <c r="C258" s="290"/>
      <c r="D258" s="260"/>
      <c r="E258" s="260"/>
    </row>
    <row r="259" spans="1:5" ht="12.75">
      <c r="A259" s="260"/>
      <c r="B259" s="290"/>
      <c r="C259" s="290"/>
      <c r="D259" s="260"/>
      <c r="E259" s="260"/>
    </row>
    <row r="260" spans="1:5" ht="12.75">
      <c r="A260" s="260"/>
      <c r="B260" s="290"/>
      <c r="C260" s="290"/>
      <c r="D260" s="260"/>
      <c r="E260" s="260"/>
    </row>
    <row r="261" spans="1:5" ht="12.75">
      <c r="A261" s="260"/>
      <c r="B261" s="290"/>
      <c r="C261" s="290"/>
      <c r="D261" s="260"/>
      <c r="E261" s="260"/>
    </row>
    <row r="262" spans="1:5" ht="12.75">
      <c r="A262" s="260"/>
      <c r="B262" s="290"/>
      <c r="C262" s="290"/>
      <c r="D262" s="260"/>
      <c r="E262" s="260"/>
    </row>
    <row r="263" spans="1:5" ht="12.75">
      <c r="A263" s="260"/>
      <c r="B263" s="290"/>
      <c r="C263" s="290"/>
      <c r="D263" s="260"/>
      <c r="E263" s="260"/>
    </row>
    <row r="264" spans="1:5" ht="12.75">
      <c r="A264" s="260"/>
      <c r="B264" s="290"/>
      <c r="C264" s="290"/>
      <c r="D264" s="260"/>
      <c r="E264" s="260"/>
    </row>
    <row r="265" spans="1:5" ht="12.75">
      <c r="A265" s="260"/>
      <c r="B265" s="290"/>
      <c r="C265" s="290"/>
      <c r="D265" s="260"/>
      <c r="E265" s="260"/>
    </row>
    <row r="266" spans="1:5" ht="12.75">
      <c r="A266" s="260"/>
      <c r="B266" s="290"/>
      <c r="C266" s="290"/>
      <c r="D266" s="260"/>
      <c r="E266" s="260"/>
    </row>
    <row r="267" spans="1:5" ht="12.75">
      <c r="A267" s="260"/>
      <c r="B267" s="290"/>
      <c r="C267" s="290"/>
      <c r="D267" s="260"/>
      <c r="E267" s="260"/>
    </row>
    <row r="268" spans="1:5" ht="12.75">
      <c r="A268" s="260"/>
      <c r="B268" s="290"/>
      <c r="C268" s="290"/>
      <c r="D268" s="260"/>
      <c r="E268" s="260"/>
    </row>
    <row r="269" spans="1:5" ht="12.75">
      <c r="A269" s="260"/>
      <c r="B269" s="290"/>
      <c r="C269" s="290"/>
      <c r="D269" s="260"/>
      <c r="E269" s="260"/>
    </row>
    <row r="270" spans="1:5" ht="12.75">
      <c r="A270" s="260"/>
      <c r="B270" s="290"/>
      <c r="C270" s="290"/>
      <c r="D270" s="260"/>
      <c r="E270" s="260"/>
    </row>
    <row r="271" spans="1:5" ht="12.75">
      <c r="A271" s="260"/>
      <c r="B271" s="290"/>
      <c r="C271" s="290"/>
      <c r="D271" s="260"/>
      <c r="E271" s="260"/>
    </row>
    <row r="272" spans="1:5" ht="12.75">
      <c r="A272" s="260"/>
      <c r="B272" s="290"/>
      <c r="C272" s="290"/>
      <c r="D272" s="260"/>
      <c r="E272" s="260"/>
    </row>
    <row r="273" spans="1:5" ht="12.75">
      <c r="A273" s="260"/>
      <c r="B273" s="290"/>
      <c r="C273" s="290"/>
      <c r="D273" s="260"/>
      <c r="E273" s="260"/>
    </row>
    <row r="274" spans="1:5" ht="12.75">
      <c r="A274" s="260"/>
      <c r="B274" s="290"/>
      <c r="C274" s="290"/>
      <c r="D274" s="260"/>
      <c r="E274" s="260"/>
    </row>
    <row r="275" spans="1:5" ht="12.75">
      <c r="A275" s="260"/>
      <c r="B275" s="290"/>
      <c r="C275" s="290"/>
      <c r="D275" s="260"/>
      <c r="E275" s="260"/>
    </row>
    <row r="276" spans="1:5" ht="12.75">
      <c r="A276" s="260"/>
      <c r="B276" s="290"/>
      <c r="C276" s="290"/>
      <c r="D276" s="260"/>
      <c r="E276" s="260"/>
    </row>
    <row r="277" spans="1:5" ht="12.75">
      <c r="A277" s="260"/>
      <c r="B277" s="290"/>
      <c r="C277" s="290"/>
      <c r="D277" s="260"/>
      <c r="E277" s="260"/>
    </row>
    <row r="278" spans="1:5" ht="12.75">
      <c r="A278" s="260"/>
      <c r="B278" s="290"/>
      <c r="C278" s="290"/>
      <c r="D278" s="260"/>
      <c r="E278" s="260"/>
    </row>
    <row r="279" spans="1:5" ht="12.75">
      <c r="A279" s="260"/>
      <c r="B279" s="290"/>
      <c r="C279" s="290"/>
      <c r="D279" s="260"/>
      <c r="E279" s="260"/>
    </row>
    <row r="280" spans="1:5" ht="12.75">
      <c r="A280" s="260"/>
      <c r="B280" s="290"/>
      <c r="C280" s="290"/>
      <c r="D280" s="260"/>
      <c r="E280" s="260"/>
    </row>
    <row r="281" spans="1:5" ht="12.75">
      <c r="A281" s="260"/>
      <c r="B281" s="290"/>
      <c r="C281" s="290"/>
      <c r="D281" s="260"/>
      <c r="E281" s="260"/>
    </row>
    <row r="282" spans="1:5" ht="12.75">
      <c r="A282" s="260"/>
      <c r="B282" s="290"/>
      <c r="C282" s="290"/>
      <c r="D282" s="260"/>
      <c r="E282" s="260"/>
    </row>
    <row r="283" spans="1:5" ht="12.75">
      <c r="A283" s="260"/>
      <c r="B283" s="290"/>
      <c r="C283" s="290"/>
      <c r="D283" s="260"/>
      <c r="E283" s="260"/>
    </row>
    <row r="284" spans="1:5" ht="12.75">
      <c r="A284" s="260"/>
      <c r="B284" s="290"/>
      <c r="C284" s="290"/>
      <c r="D284" s="260"/>
      <c r="E284" s="260"/>
    </row>
    <row r="285" spans="1:5" ht="12.75">
      <c r="A285" s="260"/>
      <c r="B285" s="290"/>
      <c r="C285" s="290"/>
      <c r="D285" s="260"/>
      <c r="E285" s="260"/>
    </row>
    <row r="286" spans="1:5" ht="12.75">
      <c r="A286" s="260"/>
      <c r="B286" s="290"/>
      <c r="C286" s="290"/>
      <c r="D286" s="260"/>
      <c r="E286" s="260"/>
    </row>
    <row r="287" spans="1:5" ht="12.75">
      <c r="A287" s="260"/>
      <c r="B287" s="290"/>
      <c r="C287" s="290"/>
      <c r="D287" s="260"/>
      <c r="E287" s="260"/>
    </row>
    <row r="288" spans="1:5" ht="12.75">
      <c r="A288" s="260"/>
      <c r="B288" s="290"/>
      <c r="C288" s="290"/>
      <c r="D288" s="260"/>
      <c r="E288" s="260"/>
    </row>
    <row r="289" spans="1:5" ht="12.75">
      <c r="A289" s="260"/>
      <c r="B289" s="290"/>
      <c r="C289" s="290"/>
      <c r="D289" s="260"/>
      <c r="E289" s="260"/>
    </row>
    <row r="290" spans="1:5" ht="12.75">
      <c r="A290" s="260"/>
      <c r="B290" s="290"/>
      <c r="C290" s="290"/>
      <c r="D290" s="260"/>
      <c r="E290" s="260"/>
    </row>
    <row r="291" spans="1:5" ht="12.75">
      <c r="A291" s="260"/>
      <c r="B291" s="290"/>
      <c r="C291" s="290"/>
      <c r="D291" s="260"/>
      <c r="E291" s="260"/>
    </row>
    <row r="292" spans="1:5" ht="12.75">
      <c r="A292" s="260"/>
      <c r="B292" s="290"/>
      <c r="C292" s="290"/>
      <c r="D292" s="260"/>
      <c r="E292" s="260"/>
    </row>
    <row r="293" spans="1:5" ht="12.75">
      <c r="A293" s="260"/>
      <c r="B293" s="290"/>
      <c r="C293" s="290"/>
      <c r="D293" s="260"/>
      <c r="E293" s="260"/>
    </row>
    <row r="294" spans="1:5" ht="12.75">
      <c r="A294" s="260"/>
      <c r="B294" s="290"/>
      <c r="C294" s="290"/>
      <c r="D294" s="260"/>
      <c r="E294" s="260"/>
    </row>
    <row r="295" spans="1:5" ht="12.75">
      <c r="A295" s="260"/>
      <c r="B295" s="290"/>
      <c r="C295" s="290"/>
      <c r="D295" s="260"/>
      <c r="E295" s="260"/>
    </row>
    <row r="296" spans="1:5" ht="12.75">
      <c r="A296" s="260"/>
      <c r="B296" s="290"/>
      <c r="C296" s="290"/>
      <c r="D296" s="260"/>
      <c r="E296" s="260"/>
    </row>
    <row r="297" spans="1:5" ht="12.75">
      <c r="A297" s="260"/>
      <c r="B297" s="290"/>
      <c r="C297" s="290"/>
      <c r="D297" s="260"/>
      <c r="E297" s="260"/>
    </row>
    <row r="298" spans="1:5" ht="12.75">
      <c r="A298" s="260"/>
      <c r="B298" s="290"/>
      <c r="C298" s="290"/>
      <c r="D298" s="260"/>
      <c r="E298" s="260"/>
    </row>
    <row r="299" spans="1:5" ht="12.75">
      <c r="A299" s="260"/>
      <c r="B299" s="290"/>
      <c r="C299" s="290"/>
      <c r="D299" s="260"/>
      <c r="E299" s="260"/>
    </row>
    <row r="300" spans="1:5" ht="12.75">
      <c r="A300" s="260"/>
      <c r="B300" s="290"/>
      <c r="C300" s="290"/>
      <c r="D300" s="260"/>
      <c r="E300" s="260"/>
    </row>
    <row r="301" spans="1:5" ht="12.75">
      <c r="A301" s="260"/>
      <c r="B301" s="290"/>
      <c r="C301" s="290"/>
      <c r="D301" s="260"/>
      <c r="E301" s="260"/>
    </row>
    <row r="302" spans="1:5" ht="12.75">
      <c r="A302" s="260"/>
      <c r="B302" s="290"/>
      <c r="C302" s="290"/>
      <c r="D302" s="260"/>
      <c r="E302" s="260"/>
    </row>
    <row r="303" spans="1:5" ht="12.75">
      <c r="A303" s="260"/>
      <c r="B303" s="290"/>
      <c r="C303" s="290"/>
      <c r="D303" s="260"/>
      <c r="E303" s="260"/>
    </row>
    <row r="304" spans="1:5" ht="12.75">
      <c r="A304" s="260"/>
      <c r="B304" s="290"/>
      <c r="C304" s="290"/>
      <c r="D304" s="260"/>
      <c r="E304" s="260"/>
    </row>
    <row r="305" spans="1:5" ht="12.75">
      <c r="A305" s="260"/>
      <c r="B305" s="290"/>
      <c r="C305" s="290"/>
      <c r="D305" s="260"/>
      <c r="E305" s="260"/>
    </row>
    <row r="306" spans="1:5" ht="12.75">
      <c r="A306" s="260"/>
      <c r="B306" s="290"/>
      <c r="C306" s="290"/>
      <c r="D306" s="260"/>
      <c r="E306" s="260"/>
    </row>
    <row r="307" spans="1:5" ht="12.75">
      <c r="A307" s="260"/>
      <c r="B307" s="290"/>
      <c r="C307" s="290"/>
      <c r="D307" s="260"/>
      <c r="E307" s="260"/>
    </row>
    <row r="308" spans="1:5" ht="12.75">
      <c r="A308" s="260"/>
      <c r="B308" s="290"/>
      <c r="C308" s="290"/>
      <c r="D308" s="260"/>
      <c r="E308" s="260"/>
    </row>
    <row r="309" spans="1:5" ht="12.75">
      <c r="A309" s="260"/>
      <c r="B309" s="290"/>
      <c r="C309" s="290"/>
      <c r="D309" s="260"/>
      <c r="E309" s="260"/>
    </row>
    <row r="310" spans="1:5" ht="12.75">
      <c r="A310" s="260"/>
      <c r="B310" s="290"/>
      <c r="C310" s="290"/>
      <c r="D310" s="260"/>
      <c r="E310" s="260"/>
    </row>
    <row r="311" spans="1:5" ht="12.75">
      <c r="A311" s="260"/>
      <c r="B311" s="290"/>
      <c r="C311" s="290"/>
      <c r="D311" s="260"/>
      <c r="E311" s="260"/>
    </row>
    <row r="312" spans="1:5" ht="12.75">
      <c r="A312" s="260"/>
      <c r="B312" s="290"/>
      <c r="C312" s="290"/>
      <c r="D312" s="260"/>
      <c r="E312" s="260"/>
    </row>
    <row r="313" spans="1:5" ht="12.75">
      <c r="A313" s="260"/>
      <c r="B313" s="290"/>
      <c r="C313" s="290"/>
      <c r="D313" s="260"/>
      <c r="E313" s="260"/>
    </row>
    <row r="314" spans="1:5" ht="12.75">
      <c r="A314" s="260"/>
      <c r="B314" s="290"/>
      <c r="C314" s="290"/>
      <c r="D314" s="260"/>
      <c r="E314" s="260"/>
    </row>
    <row r="315" spans="1:5" ht="12.75">
      <c r="A315" s="260"/>
      <c r="B315" s="290"/>
      <c r="C315" s="290"/>
      <c r="D315" s="260"/>
      <c r="E315" s="260"/>
    </row>
    <row r="316" spans="1:5" ht="12.75">
      <c r="A316" s="260"/>
      <c r="B316" s="290"/>
      <c r="C316" s="290"/>
      <c r="D316" s="260"/>
      <c r="E316" s="260"/>
    </row>
    <row r="317" spans="1:5" ht="12.75">
      <c r="A317" s="260"/>
      <c r="B317" s="290"/>
      <c r="C317" s="290"/>
      <c r="D317" s="260"/>
      <c r="E317" s="260"/>
    </row>
    <row r="318" spans="1:5" ht="12.75">
      <c r="A318" s="260"/>
      <c r="B318" s="290"/>
      <c r="C318" s="290"/>
      <c r="D318" s="260"/>
      <c r="E318" s="260"/>
    </row>
    <row r="319" spans="1:5" ht="12.75">
      <c r="A319" s="260"/>
      <c r="B319" s="290"/>
      <c r="C319" s="290"/>
      <c r="D319" s="260"/>
      <c r="E319" s="260"/>
    </row>
    <row r="320" spans="1:5" ht="12.75">
      <c r="A320" s="260"/>
      <c r="B320" s="290"/>
      <c r="C320" s="290"/>
      <c r="D320" s="260"/>
      <c r="E320" s="260"/>
    </row>
    <row r="321" spans="1:5" ht="12.75">
      <c r="A321" s="260"/>
      <c r="B321" s="290"/>
      <c r="C321" s="290"/>
      <c r="D321" s="260"/>
      <c r="E321" s="260"/>
    </row>
    <row r="322" spans="1:5" ht="12.75">
      <c r="A322" s="260"/>
      <c r="B322" s="290"/>
      <c r="C322" s="290"/>
      <c r="D322" s="260"/>
      <c r="E322" s="260"/>
    </row>
    <row r="323" spans="1:5" ht="12.75">
      <c r="A323" s="260"/>
      <c r="B323" s="290"/>
      <c r="C323" s="290"/>
      <c r="D323" s="260"/>
      <c r="E323" s="260"/>
    </row>
    <row r="324" spans="1:5" ht="12.75">
      <c r="A324" s="260"/>
      <c r="B324" s="290"/>
      <c r="C324" s="290"/>
      <c r="D324" s="260"/>
      <c r="E324" s="260"/>
    </row>
    <row r="325" spans="1:5" ht="12.75">
      <c r="A325" s="260"/>
      <c r="B325" s="290"/>
      <c r="C325" s="290"/>
      <c r="D325" s="260"/>
      <c r="E325" s="260"/>
    </row>
    <row r="326" spans="1:5" ht="12.75">
      <c r="A326" s="260"/>
      <c r="B326" s="290"/>
      <c r="C326" s="290"/>
      <c r="D326" s="260"/>
      <c r="E326" s="260"/>
    </row>
    <row r="327" spans="1:5" ht="12.75">
      <c r="A327" s="260"/>
      <c r="B327" s="290"/>
      <c r="C327" s="290"/>
      <c r="D327" s="260"/>
      <c r="E327" s="260"/>
    </row>
    <row r="328" spans="1:5" ht="12.75">
      <c r="A328" s="260"/>
      <c r="B328" s="290"/>
      <c r="C328" s="290"/>
      <c r="D328" s="260"/>
      <c r="E328" s="260"/>
    </row>
    <row r="329" spans="1:5" ht="12.75">
      <c r="A329" s="260"/>
      <c r="B329" s="290"/>
      <c r="C329" s="290"/>
      <c r="D329" s="260"/>
      <c r="E329" s="260"/>
    </row>
    <row r="330" spans="1:5" ht="12.75">
      <c r="A330" s="260"/>
      <c r="B330" s="290"/>
      <c r="C330" s="290"/>
      <c r="D330" s="260"/>
      <c r="E330" s="260"/>
    </row>
    <row r="331" spans="1:5" ht="12.75">
      <c r="A331" s="260"/>
      <c r="B331" s="290"/>
      <c r="C331" s="290"/>
      <c r="D331" s="260"/>
      <c r="E331" s="260"/>
    </row>
    <row r="332" spans="1:5" ht="12.75">
      <c r="A332" s="260"/>
      <c r="B332" s="290"/>
      <c r="C332" s="290"/>
      <c r="D332" s="260"/>
      <c r="E332" s="260"/>
    </row>
    <row r="333" spans="1:5" ht="12.75">
      <c r="A333" s="260"/>
      <c r="B333" s="290"/>
      <c r="C333" s="290"/>
      <c r="D333" s="260"/>
      <c r="E333" s="260"/>
    </row>
    <row r="334" spans="1:5" ht="12.75">
      <c r="A334" s="260"/>
      <c r="B334" s="290"/>
      <c r="C334" s="290"/>
      <c r="D334" s="260"/>
      <c r="E334" s="260"/>
    </row>
    <row r="335" spans="1:5" ht="12.75">
      <c r="A335" s="260"/>
      <c r="B335" s="290"/>
      <c r="C335" s="290"/>
      <c r="D335" s="260"/>
      <c r="E335" s="260"/>
    </row>
    <row r="336" spans="1:5" ht="12.75">
      <c r="A336" s="260"/>
      <c r="B336" s="290"/>
      <c r="C336" s="290"/>
      <c r="D336" s="260"/>
      <c r="E336" s="260"/>
    </row>
    <row r="337" spans="1:5" ht="12.75">
      <c r="A337" s="260"/>
      <c r="B337" s="290"/>
      <c r="C337" s="290"/>
      <c r="D337" s="260"/>
      <c r="E337" s="260"/>
    </row>
    <row r="338" spans="1:5" ht="12.75">
      <c r="A338" s="260"/>
      <c r="B338" s="290"/>
      <c r="C338" s="290"/>
      <c r="D338" s="260"/>
      <c r="E338" s="260"/>
    </row>
    <row r="339" spans="1:5" ht="12.75">
      <c r="A339" s="260"/>
      <c r="B339" s="290"/>
      <c r="C339" s="290"/>
      <c r="D339" s="260"/>
      <c r="E339" s="260"/>
    </row>
    <row r="340" spans="1:5" ht="12.75">
      <c r="A340" s="260"/>
      <c r="B340" s="290"/>
      <c r="C340" s="290"/>
      <c r="D340" s="260"/>
      <c r="E340" s="260"/>
    </row>
    <row r="341" spans="1:5" ht="12.75">
      <c r="A341" s="260"/>
      <c r="B341" s="290"/>
      <c r="C341" s="290"/>
      <c r="D341" s="260"/>
      <c r="E341" s="260"/>
    </row>
    <row r="342" spans="1:5" ht="12.75">
      <c r="A342" s="260"/>
      <c r="B342" s="290"/>
      <c r="C342" s="290"/>
      <c r="D342" s="260"/>
      <c r="E342" s="260"/>
    </row>
    <row r="343" spans="1:5" ht="12.75">
      <c r="A343" s="260"/>
      <c r="B343" s="290"/>
      <c r="C343" s="290"/>
      <c r="D343" s="260"/>
      <c r="E343" s="260"/>
    </row>
    <row r="344" spans="1:5" ht="12.75">
      <c r="A344" s="260"/>
      <c r="B344" s="290"/>
      <c r="C344" s="290"/>
      <c r="D344" s="260"/>
      <c r="E344" s="260"/>
    </row>
    <row r="345" spans="1:5" ht="12.75">
      <c r="A345" s="260"/>
      <c r="B345" s="290"/>
      <c r="C345" s="290"/>
      <c r="D345" s="260"/>
      <c r="E345" s="260"/>
    </row>
    <row r="346" spans="1:5" ht="12.75">
      <c r="A346" s="260"/>
      <c r="B346" s="290"/>
      <c r="C346" s="290"/>
      <c r="D346" s="260"/>
      <c r="E346" s="260"/>
    </row>
    <row r="347" spans="1:5" ht="12.75">
      <c r="A347" s="260"/>
      <c r="B347" s="290"/>
      <c r="C347" s="290"/>
      <c r="D347" s="260"/>
      <c r="E347" s="260"/>
    </row>
    <row r="348" spans="1:5" ht="12.75">
      <c r="A348" s="260"/>
      <c r="B348" s="290"/>
      <c r="C348" s="290"/>
      <c r="D348" s="260"/>
      <c r="E348" s="260"/>
    </row>
    <row r="349" spans="1:5" ht="12.75">
      <c r="A349" s="260"/>
      <c r="B349" s="290"/>
      <c r="C349" s="290"/>
      <c r="D349" s="260"/>
      <c r="E349" s="260"/>
    </row>
    <row r="350" spans="1:5" ht="12.75">
      <c r="A350" s="260"/>
      <c r="B350" s="290"/>
      <c r="C350" s="290"/>
      <c r="D350" s="260"/>
      <c r="E350" s="260"/>
    </row>
    <row r="351" spans="1:5" ht="12.75">
      <c r="A351" s="260"/>
      <c r="B351" s="290"/>
      <c r="C351" s="290"/>
      <c r="D351" s="260"/>
      <c r="E351" s="260"/>
    </row>
    <row r="352" spans="1:5" ht="12.75">
      <c r="A352" s="260"/>
      <c r="B352" s="290"/>
      <c r="C352" s="290"/>
      <c r="D352" s="260"/>
      <c r="E352" s="260"/>
    </row>
    <row r="353" spans="1:5" ht="12.75">
      <c r="A353" s="260"/>
      <c r="B353" s="290"/>
      <c r="C353" s="290"/>
      <c r="D353" s="260"/>
      <c r="E353" s="260"/>
    </row>
    <row r="354" spans="1:5" ht="12.75">
      <c r="A354" s="260"/>
      <c r="B354" s="290"/>
      <c r="C354" s="290"/>
      <c r="D354" s="260"/>
      <c r="E354" s="260"/>
    </row>
    <row r="355" spans="1:5" ht="12.75">
      <c r="A355" s="260"/>
      <c r="B355" s="290"/>
      <c r="C355" s="290"/>
      <c r="D355" s="260"/>
      <c r="E355" s="260"/>
    </row>
    <row r="356" spans="1:5" ht="12.75">
      <c r="A356" s="260"/>
      <c r="B356" s="290"/>
      <c r="C356" s="290"/>
      <c r="D356" s="260"/>
      <c r="E356" s="260"/>
    </row>
    <row r="357" spans="1:5" ht="12.75">
      <c r="A357" s="260"/>
      <c r="B357" s="290"/>
      <c r="C357" s="290"/>
      <c r="D357" s="260"/>
      <c r="E357" s="260"/>
    </row>
    <row r="358" spans="1:5" ht="12.75">
      <c r="A358" s="260"/>
      <c r="B358" s="290"/>
      <c r="C358" s="290"/>
      <c r="D358" s="260"/>
      <c r="E358" s="260"/>
    </row>
    <row r="359" spans="1:5" ht="12.75">
      <c r="A359" s="260"/>
      <c r="B359" s="290"/>
      <c r="C359" s="290"/>
      <c r="D359" s="260"/>
      <c r="E359" s="260"/>
    </row>
    <row r="360" spans="1:5" ht="12.75">
      <c r="A360" s="260"/>
      <c r="B360" s="290"/>
      <c r="C360" s="290"/>
      <c r="D360" s="260"/>
      <c r="E360" s="260"/>
    </row>
    <row r="361" spans="1:5" ht="12.75">
      <c r="A361" s="260"/>
      <c r="B361" s="290"/>
      <c r="C361" s="290"/>
      <c r="D361" s="260"/>
      <c r="E361" s="260"/>
    </row>
    <row r="362" spans="1:5" ht="12.75">
      <c r="A362" s="260"/>
      <c r="B362" s="290"/>
      <c r="C362" s="290"/>
      <c r="D362" s="260"/>
      <c r="E362" s="260"/>
    </row>
    <row r="363" spans="1:5" ht="12.75">
      <c r="A363" s="260"/>
      <c r="B363" s="290"/>
      <c r="C363" s="290"/>
      <c r="D363" s="260"/>
      <c r="E363" s="260"/>
    </row>
    <row r="364" spans="1:5" ht="12.75">
      <c r="A364" s="260"/>
      <c r="B364" s="290"/>
      <c r="C364" s="290"/>
      <c r="D364" s="260"/>
      <c r="E364" s="260"/>
    </row>
    <row r="365" spans="1:5" ht="12.75">
      <c r="A365" s="260"/>
      <c r="B365" s="290"/>
      <c r="C365" s="290"/>
      <c r="D365" s="260"/>
      <c r="E365" s="260"/>
    </row>
    <row r="366" spans="1:5" ht="12.75">
      <c r="A366" s="260"/>
      <c r="B366" s="290"/>
      <c r="C366" s="290"/>
      <c r="D366" s="260"/>
      <c r="E366" s="260"/>
    </row>
    <row r="367" spans="1:5" ht="12.75">
      <c r="A367" s="260"/>
      <c r="B367" s="290"/>
      <c r="C367" s="290"/>
      <c r="D367" s="260"/>
      <c r="E367" s="260"/>
    </row>
    <row r="368" spans="1:5" ht="12.75">
      <c r="A368" s="260"/>
      <c r="B368" s="290"/>
      <c r="C368" s="290"/>
      <c r="D368" s="260"/>
      <c r="E368" s="260"/>
    </row>
    <row r="369" spans="1:5" ht="12.75">
      <c r="A369" s="260"/>
      <c r="B369" s="290"/>
      <c r="C369" s="290"/>
      <c r="D369" s="260"/>
      <c r="E369" s="260"/>
    </row>
    <row r="370" spans="1:5" ht="12.75">
      <c r="A370" s="260"/>
      <c r="B370" s="290"/>
      <c r="C370" s="290"/>
      <c r="D370" s="260"/>
      <c r="E370" s="260"/>
    </row>
    <row r="371" spans="1:5" ht="12.75">
      <c r="A371" s="260"/>
      <c r="B371" s="290"/>
      <c r="C371" s="290"/>
      <c r="D371" s="260"/>
      <c r="E371" s="260"/>
    </row>
    <row r="372" spans="1:5" ht="12.75">
      <c r="A372" s="260"/>
      <c r="B372" s="290"/>
      <c r="C372" s="290"/>
      <c r="D372" s="260"/>
      <c r="E372" s="260"/>
    </row>
    <row r="373" spans="1:5" ht="12.75">
      <c r="A373" s="260"/>
      <c r="B373" s="290"/>
      <c r="C373" s="290"/>
      <c r="D373" s="260"/>
      <c r="E373" s="260"/>
    </row>
    <row r="374" spans="1:5" ht="12.75">
      <c r="A374" s="260"/>
      <c r="B374" s="290"/>
      <c r="C374" s="290"/>
      <c r="D374" s="260"/>
      <c r="E374" s="260"/>
    </row>
    <row r="375" spans="1:5" ht="12.75">
      <c r="A375" s="260"/>
      <c r="B375" s="290"/>
      <c r="C375" s="290"/>
      <c r="D375" s="260"/>
      <c r="E375" s="260"/>
    </row>
    <row r="376" spans="1:5" ht="12.75">
      <c r="A376" s="260"/>
      <c r="B376" s="290"/>
      <c r="C376" s="290"/>
      <c r="D376" s="260"/>
      <c r="E376" s="260"/>
    </row>
    <row r="377" spans="1:5" ht="12.75">
      <c r="A377" s="260"/>
      <c r="B377" s="290"/>
      <c r="C377" s="290"/>
      <c r="D377" s="260"/>
      <c r="E377" s="260"/>
    </row>
    <row r="378" spans="1:5" ht="12.75">
      <c r="A378" s="260"/>
      <c r="B378" s="290"/>
      <c r="C378" s="290"/>
      <c r="D378" s="260"/>
      <c r="E378" s="260"/>
    </row>
    <row r="379" spans="1:5" ht="12.75">
      <c r="A379" s="260"/>
      <c r="B379" s="290"/>
      <c r="C379" s="290"/>
      <c r="D379" s="260"/>
      <c r="E379" s="260"/>
    </row>
    <row r="380" spans="1:5" ht="12.75">
      <c r="A380" s="260"/>
      <c r="B380" s="290"/>
      <c r="C380" s="290"/>
      <c r="D380" s="260"/>
      <c r="E380" s="260"/>
    </row>
    <row r="381" spans="1:5" ht="12.75">
      <c r="A381" s="260"/>
      <c r="B381" s="290"/>
      <c r="C381" s="290"/>
      <c r="D381" s="260"/>
      <c r="E381" s="260"/>
    </row>
    <row r="382" spans="1:5" ht="12.75">
      <c r="A382" s="260"/>
      <c r="B382" s="290"/>
      <c r="C382" s="290"/>
      <c r="D382" s="260"/>
      <c r="E382" s="260"/>
    </row>
    <row r="383" spans="1:5" ht="12.75">
      <c r="A383" s="260"/>
      <c r="B383" s="290"/>
      <c r="C383" s="290"/>
      <c r="D383" s="260"/>
      <c r="E383" s="260"/>
    </row>
    <row r="384" spans="1:5" ht="12.75">
      <c r="A384" s="260"/>
      <c r="B384" s="290"/>
      <c r="C384" s="290"/>
      <c r="D384" s="260"/>
      <c r="E384" s="260"/>
    </row>
    <row r="385" spans="1:5" ht="12.75">
      <c r="A385" s="260"/>
      <c r="B385" s="290"/>
      <c r="C385" s="290"/>
      <c r="D385" s="260"/>
      <c r="E385" s="260"/>
    </row>
    <row r="386" spans="1:5" ht="12.75">
      <c r="A386" s="260"/>
      <c r="B386" s="290"/>
      <c r="C386" s="290"/>
      <c r="D386" s="260"/>
      <c r="E386" s="260"/>
    </row>
    <row r="387" spans="1:5" ht="12.75">
      <c r="A387" s="260"/>
      <c r="B387" s="290"/>
      <c r="C387" s="290"/>
      <c r="D387" s="260"/>
      <c r="E387" s="260"/>
    </row>
    <row r="388" spans="1:5" ht="12.75">
      <c r="A388" s="260"/>
      <c r="B388" s="290"/>
      <c r="C388" s="290"/>
      <c r="D388" s="260"/>
      <c r="E388" s="260"/>
    </row>
    <row r="389" spans="1:5" ht="12.75">
      <c r="A389" s="260"/>
      <c r="B389" s="290"/>
      <c r="C389" s="290"/>
      <c r="D389" s="260"/>
      <c r="E389" s="260"/>
    </row>
    <row r="390" spans="1:5" ht="12.75">
      <c r="A390" s="260"/>
      <c r="B390" s="290"/>
      <c r="C390" s="290"/>
      <c r="D390" s="260"/>
      <c r="E390" s="260"/>
    </row>
    <row r="391" spans="1:5" ht="12.75">
      <c r="A391" s="260"/>
      <c r="B391" s="290"/>
      <c r="C391" s="290"/>
      <c r="D391" s="260"/>
      <c r="E391" s="260"/>
    </row>
    <row r="392" spans="1:5" ht="12.75">
      <c r="A392" s="260"/>
      <c r="B392" s="290"/>
      <c r="C392" s="290"/>
      <c r="D392" s="260"/>
      <c r="E392" s="260"/>
    </row>
    <row r="393" spans="1:5" ht="12.75">
      <c r="A393" s="260"/>
      <c r="B393" s="290"/>
      <c r="C393" s="290"/>
      <c r="D393" s="260"/>
      <c r="E393" s="260"/>
    </row>
    <row r="394" spans="1:5" ht="12.75">
      <c r="A394" s="260"/>
      <c r="B394" s="290"/>
      <c r="C394" s="290"/>
      <c r="D394" s="260"/>
      <c r="E394" s="260"/>
    </row>
    <row r="395" spans="1:5" ht="12.75">
      <c r="A395" s="260"/>
      <c r="B395" s="290"/>
      <c r="C395" s="290"/>
      <c r="D395" s="260"/>
      <c r="E395" s="260"/>
    </row>
    <row r="396" spans="1:5" ht="12.75">
      <c r="A396" s="260"/>
      <c r="B396" s="290"/>
      <c r="C396" s="290"/>
      <c r="D396" s="260"/>
      <c r="E396" s="260"/>
    </row>
    <row r="397" spans="1:5" ht="12.75">
      <c r="A397" s="260"/>
      <c r="B397" s="290"/>
      <c r="C397" s="290"/>
      <c r="D397" s="260"/>
      <c r="E397" s="260"/>
    </row>
    <row r="398" spans="1:5" ht="12.75">
      <c r="A398" s="260"/>
      <c r="B398" s="290"/>
      <c r="C398" s="290"/>
      <c r="D398" s="260"/>
      <c r="E398" s="260"/>
    </row>
    <row r="399" spans="1:5" ht="12.75">
      <c r="A399" s="260"/>
      <c r="B399" s="290"/>
      <c r="C399" s="290"/>
      <c r="D399" s="260"/>
      <c r="E399" s="260"/>
    </row>
    <row r="400" spans="1:5" ht="12.75">
      <c r="A400" s="260"/>
      <c r="B400" s="290"/>
      <c r="C400" s="290"/>
      <c r="D400" s="260"/>
      <c r="E400" s="260"/>
    </row>
    <row r="401" spans="1:5" ht="12.75">
      <c r="A401" s="260"/>
      <c r="B401" s="290"/>
      <c r="C401" s="290"/>
      <c r="D401" s="260"/>
      <c r="E401" s="260"/>
    </row>
    <row r="402" spans="1:5" ht="12.75">
      <c r="A402" s="260"/>
      <c r="B402" s="290"/>
      <c r="C402" s="290"/>
      <c r="D402" s="260"/>
      <c r="E402" s="260"/>
    </row>
    <row r="403" spans="1:5" ht="12.75">
      <c r="A403" s="260"/>
      <c r="B403" s="290"/>
      <c r="C403" s="290"/>
      <c r="D403" s="260"/>
      <c r="E403" s="260"/>
    </row>
    <row r="404" spans="1:5" ht="12.75">
      <c r="A404" s="260"/>
      <c r="B404" s="290"/>
      <c r="C404" s="290"/>
      <c r="D404" s="260"/>
      <c r="E404" s="260"/>
    </row>
    <row r="405" spans="1:5" ht="12.75">
      <c r="A405" s="260"/>
      <c r="B405" s="290"/>
      <c r="C405" s="290"/>
      <c r="D405" s="260"/>
      <c r="E405" s="260"/>
    </row>
    <row r="406" spans="1:5" ht="12.75">
      <c r="A406" s="260"/>
      <c r="B406" s="290"/>
      <c r="C406" s="290"/>
      <c r="D406" s="260"/>
      <c r="E406" s="260"/>
    </row>
    <row r="407" spans="1:5" ht="12.75">
      <c r="A407" s="260"/>
      <c r="B407" s="290"/>
      <c r="C407" s="290"/>
      <c r="D407" s="260"/>
      <c r="E407" s="260"/>
    </row>
    <row r="408" spans="1:5" ht="12.75">
      <c r="A408" s="260"/>
      <c r="C408" s="290"/>
      <c r="D408" s="260"/>
      <c r="E408" s="260"/>
    </row>
    <row r="409" spans="3:5" ht="12.75">
      <c r="C409" s="290"/>
      <c r="D409" s="260"/>
      <c r="E409" s="260"/>
    </row>
  </sheetData>
  <sheetProtection/>
  <mergeCells count="7">
    <mergeCell ref="A2:B2"/>
    <mergeCell ref="A10:B10"/>
    <mergeCell ref="A29:B29"/>
    <mergeCell ref="A56:B56"/>
    <mergeCell ref="A57:B57"/>
    <mergeCell ref="A76:B76"/>
    <mergeCell ref="A24:B24"/>
  </mergeCells>
  <printOptions/>
  <pageMargins left="0.5905511811023623" right="0.4724409448818898" top="0.7874015748031497" bottom="0.5905511811023623" header="0.31496062992125984" footer="0.31496062992125984"/>
  <pageSetup fitToHeight="3" fitToWidth="1" horizontalDpi="600" verticalDpi="600" orientation="portrait" paperSize="9" scale="89" r:id="rId1"/>
  <headerFooter>
    <oddFooter>&amp;LZávěrečný účet za rok 2018</oddFooter>
  </headerFooter>
  <rowBreaks count="1" manualBreakCount="1">
    <brk id="75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SheetLayoutView="100" zoomScalePageLayoutView="0" workbookViewId="0" topLeftCell="A75">
      <selection activeCell="J89" sqref="J89"/>
    </sheetView>
  </sheetViews>
  <sheetFormatPr defaultColWidth="9.00390625" defaultRowHeight="12.75"/>
  <cols>
    <col min="1" max="1" width="10.00390625" style="895" customWidth="1"/>
    <col min="2" max="2" width="10.75390625" style="895" customWidth="1"/>
    <col min="3" max="3" width="52.875" style="895" customWidth="1"/>
    <col min="4" max="4" width="15.875" style="895" customWidth="1"/>
    <col min="5" max="6" width="16.625" style="895" customWidth="1"/>
    <col min="7" max="7" width="9.25390625" style="895" customWidth="1"/>
    <col min="8" max="16384" width="9.125" style="894" customWidth="1"/>
  </cols>
  <sheetData>
    <row r="1" spans="1:7" ht="45.75" customHeight="1" thickBot="1">
      <c r="A1" s="1366" t="s">
        <v>733</v>
      </c>
      <c r="B1" s="1367"/>
      <c r="C1" s="1367"/>
      <c r="D1" s="1367"/>
      <c r="E1" s="1367"/>
      <c r="F1" s="1367"/>
      <c r="G1" s="975" t="s">
        <v>725</v>
      </c>
    </row>
    <row r="2" spans="1:7" s="903" customFormat="1" ht="39" customHeight="1" thickBot="1">
      <c r="A2" s="897" t="s">
        <v>26</v>
      </c>
      <c r="B2" s="898" t="s">
        <v>234</v>
      </c>
      <c r="C2" s="899" t="s">
        <v>235</v>
      </c>
      <c r="D2" s="988" t="s">
        <v>236</v>
      </c>
      <c r="E2" s="900" t="s">
        <v>114</v>
      </c>
      <c r="F2" s="901" t="s">
        <v>237</v>
      </c>
      <c r="G2" s="902" t="s">
        <v>238</v>
      </c>
    </row>
    <row r="3" spans="1:7" s="903" customFormat="1" ht="27.75" customHeight="1">
      <c r="A3" s="1345" t="s">
        <v>714</v>
      </c>
      <c r="B3" s="904" t="s">
        <v>653</v>
      </c>
      <c r="C3" s="905" t="s">
        <v>611</v>
      </c>
      <c r="D3" s="906" t="s">
        <v>612</v>
      </c>
      <c r="E3" s="907">
        <v>2848500</v>
      </c>
      <c r="F3" s="907">
        <v>2806214</v>
      </c>
      <c r="G3" s="908">
        <f aca="true" t="shared" si="0" ref="G3:G15">F3/E3</f>
        <v>0.9851549938564157</v>
      </c>
    </row>
    <row r="4" spans="1:7" s="914" customFormat="1" ht="27.75" customHeight="1">
      <c r="A4" s="1346"/>
      <c r="B4" s="909" t="s">
        <v>653</v>
      </c>
      <c r="C4" s="910" t="s">
        <v>613</v>
      </c>
      <c r="D4" s="911" t="s">
        <v>614</v>
      </c>
      <c r="E4" s="912">
        <v>2926000</v>
      </c>
      <c r="F4" s="912">
        <v>2905299</v>
      </c>
      <c r="G4" s="913">
        <f t="shared" si="0"/>
        <v>0.9929251537935748</v>
      </c>
    </row>
    <row r="5" spans="1:7" s="914" customFormat="1" ht="22.5" customHeight="1">
      <c r="A5" s="1346"/>
      <c r="B5" s="909" t="s">
        <v>117</v>
      </c>
      <c r="C5" s="915" t="s">
        <v>615</v>
      </c>
      <c r="D5" s="911" t="s">
        <v>616</v>
      </c>
      <c r="E5" s="912">
        <v>82600</v>
      </c>
      <c r="F5" s="912">
        <v>82635</v>
      </c>
      <c r="G5" s="916">
        <f t="shared" si="0"/>
        <v>1.0004237288135593</v>
      </c>
    </row>
    <row r="6" spans="1:7" s="914" customFormat="1" ht="27.75" customHeight="1">
      <c r="A6" s="1346"/>
      <c r="B6" s="909" t="s">
        <v>667</v>
      </c>
      <c r="C6" s="915" t="s">
        <v>617</v>
      </c>
      <c r="D6" s="911" t="s">
        <v>618</v>
      </c>
      <c r="E6" s="912">
        <v>5280000</v>
      </c>
      <c r="F6" s="912">
        <v>5280000</v>
      </c>
      <c r="G6" s="916">
        <f t="shared" si="0"/>
        <v>1</v>
      </c>
    </row>
    <row r="7" spans="1:7" s="914" customFormat="1" ht="22.5" customHeight="1">
      <c r="A7" s="1346"/>
      <c r="B7" s="917" t="s">
        <v>684</v>
      </c>
      <c r="C7" s="915" t="s">
        <v>619</v>
      </c>
      <c r="D7" s="911" t="s">
        <v>620</v>
      </c>
      <c r="E7" s="912">
        <v>5193000</v>
      </c>
      <c r="F7" s="912">
        <v>5192190.7</v>
      </c>
      <c r="G7" s="916">
        <f t="shared" si="0"/>
        <v>0.999844155594069</v>
      </c>
    </row>
    <row r="8" spans="1:7" s="914" customFormat="1" ht="22.5" customHeight="1">
      <c r="A8" s="1346"/>
      <c r="B8" s="917" t="s">
        <v>684</v>
      </c>
      <c r="C8" s="915" t="s">
        <v>628</v>
      </c>
      <c r="D8" s="918" t="s">
        <v>622</v>
      </c>
      <c r="E8" s="912">
        <v>1880500</v>
      </c>
      <c r="F8" s="912">
        <v>1880086</v>
      </c>
      <c r="G8" s="916">
        <f t="shared" si="0"/>
        <v>0.9997798457856953</v>
      </c>
    </row>
    <row r="9" spans="1:7" s="914" customFormat="1" ht="22.5" customHeight="1">
      <c r="A9" s="1346"/>
      <c r="B9" s="909" t="s">
        <v>121</v>
      </c>
      <c r="C9" s="915" t="s">
        <v>623</v>
      </c>
      <c r="D9" s="918" t="s">
        <v>624</v>
      </c>
      <c r="E9" s="912">
        <v>7258000</v>
      </c>
      <c r="F9" s="912">
        <v>7258000</v>
      </c>
      <c r="G9" s="916">
        <f t="shared" si="0"/>
        <v>1</v>
      </c>
    </row>
    <row r="10" spans="1:7" s="914" customFormat="1" ht="22.5" customHeight="1">
      <c r="A10" s="1346"/>
      <c r="B10" s="909" t="s">
        <v>121</v>
      </c>
      <c r="C10" s="919" t="s">
        <v>623</v>
      </c>
      <c r="D10" s="920" t="s">
        <v>625</v>
      </c>
      <c r="E10" s="912">
        <v>3184000</v>
      </c>
      <c r="F10" s="912">
        <v>3184000</v>
      </c>
      <c r="G10" s="916">
        <f t="shared" si="0"/>
        <v>1</v>
      </c>
    </row>
    <row r="11" spans="1:7" s="914" customFormat="1" ht="27.75" customHeight="1">
      <c r="A11" s="1346"/>
      <c r="B11" s="921" t="s">
        <v>664</v>
      </c>
      <c r="C11" s="919" t="s">
        <v>626</v>
      </c>
      <c r="D11" s="922" t="s">
        <v>627</v>
      </c>
      <c r="E11" s="912">
        <v>1321200</v>
      </c>
      <c r="F11" s="912">
        <v>1230035</v>
      </c>
      <c r="G11" s="916">
        <f t="shared" si="0"/>
        <v>0.9309983348471087</v>
      </c>
    </row>
    <row r="12" spans="1:7" s="914" customFormat="1" ht="22.5" customHeight="1">
      <c r="A12" s="1346"/>
      <c r="B12" s="923" t="s">
        <v>651</v>
      </c>
      <c r="C12" s="919" t="s">
        <v>621</v>
      </c>
      <c r="D12" s="924" t="s">
        <v>629</v>
      </c>
      <c r="E12" s="912">
        <v>768000</v>
      </c>
      <c r="F12" s="912">
        <v>663883</v>
      </c>
      <c r="G12" s="916">
        <f t="shared" si="0"/>
        <v>0.8644309895833333</v>
      </c>
    </row>
    <row r="13" spans="1:7" s="914" customFormat="1" ht="22.5" customHeight="1">
      <c r="A13" s="1346"/>
      <c r="B13" s="917" t="s">
        <v>121</v>
      </c>
      <c r="C13" s="915" t="s">
        <v>630</v>
      </c>
      <c r="D13" s="924" t="s">
        <v>631</v>
      </c>
      <c r="E13" s="912">
        <v>-48000</v>
      </c>
      <c r="F13" s="912">
        <v>0</v>
      </c>
      <c r="G13" s="916">
        <f t="shared" si="0"/>
        <v>0</v>
      </c>
    </row>
    <row r="14" spans="1:7" s="914" customFormat="1" ht="22.5" customHeight="1">
      <c r="A14" s="1346"/>
      <c r="B14" s="925" t="s">
        <v>121</v>
      </c>
      <c r="C14" s="919" t="s">
        <v>621</v>
      </c>
      <c r="D14" s="920" t="s">
        <v>632</v>
      </c>
      <c r="E14" s="926">
        <v>28000</v>
      </c>
      <c r="F14" s="912">
        <v>0</v>
      </c>
      <c r="G14" s="916">
        <f t="shared" si="0"/>
        <v>0</v>
      </c>
    </row>
    <row r="15" spans="1:7" s="914" customFormat="1" ht="22.5" customHeight="1">
      <c r="A15" s="1346"/>
      <c r="B15" s="927" t="s">
        <v>121</v>
      </c>
      <c r="C15" s="919" t="s">
        <v>621</v>
      </c>
      <c r="D15" s="911" t="s">
        <v>633</v>
      </c>
      <c r="E15" s="912">
        <v>40000</v>
      </c>
      <c r="F15" s="912">
        <v>0</v>
      </c>
      <c r="G15" s="916">
        <f t="shared" si="0"/>
        <v>0</v>
      </c>
    </row>
    <row r="16" spans="1:7" s="914" customFormat="1" ht="22.5" customHeight="1">
      <c r="A16" s="1346"/>
      <c r="B16" s="927" t="s">
        <v>123</v>
      </c>
      <c r="C16" s="919" t="s">
        <v>661</v>
      </c>
      <c r="D16" s="911" t="s">
        <v>662</v>
      </c>
      <c r="E16" s="912">
        <v>25900</v>
      </c>
      <c r="F16" s="1359">
        <v>57724</v>
      </c>
      <c r="G16" s="1362">
        <v>0.325</v>
      </c>
    </row>
    <row r="17" spans="1:7" s="914" customFormat="1" ht="22.5" customHeight="1">
      <c r="A17" s="1346"/>
      <c r="B17" s="927" t="s">
        <v>123</v>
      </c>
      <c r="C17" s="919" t="s">
        <v>661</v>
      </c>
      <c r="D17" s="911" t="s">
        <v>685</v>
      </c>
      <c r="E17" s="912">
        <v>156700</v>
      </c>
      <c r="F17" s="1360"/>
      <c r="G17" s="1363"/>
    </row>
    <row r="18" spans="1:7" s="914" customFormat="1" ht="22.5" customHeight="1">
      <c r="A18" s="1346"/>
      <c r="B18" s="927" t="s">
        <v>123</v>
      </c>
      <c r="C18" s="919" t="s">
        <v>686</v>
      </c>
      <c r="D18" s="911" t="s">
        <v>685</v>
      </c>
      <c r="E18" s="912">
        <v>-5200</v>
      </c>
      <c r="F18" s="1361"/>
      <c r="G18" s="1364"/>
    </row>
    <row r="19" spans="1:7" s="914" customFormat="1" ht="22.5" customHeight="1">
      <c r="A19" s="1346"/>
      <c r="B19" s="927" t="s">
        <v>671</v>
      </c>
      <c r="C19" s="919" t="s">
        <v>634</v>
      </c>
      <c r="D19" s="911" t="s">
        <v>635</v>
      </c>
      <c r="E19" s="912">
        <v>1500900</v>
      </c>
      <c r="F19" s="912">
        <v>1500869.2</v>
      </c>
      <c r="G19" s="916">
        <f>F19/E19</f>
        <v>0.9999794789792791</v>
      </c>
    </row>
    <row r="20" spans="1:7" s="914" customFormat="1" ht="27.75" customHeight="1">
      <c r="A20" s="1346"/>
      <c r="B20" s="911" t="s">
        <v>660</v>
      </c>
      <c r="C20" s="919" t="s">
        <v>636</v>
      </c>
      <c r="D20" s="911" t="s">
        <v>637</v>
      </c>
      <c r="E20" s="912">
        <v>957000</v>
      </c>
      <c r="F20" s="1359">
        <v>1058249.15</v>
      </c>
      <c r="G20" s="1362">
        <v>0.6945</v>
      </c>
    </row>
    <row r="21" spans="1:7" s="914" customFormat="1" ht="22.5" customHeight="1">
      <c r="A21" s="1346"/>
      <c r="B21" s="927" t="s">
        <v>683</v>
      </c>
      <c r="C21" s="919" t="s">
        <v>636</v>
      </c>
      <c r="D21" s="911" t="s">
        <v>638</v>
      </c>
      <c r="E21" s="912">
        <v>566600</v>
      </c>
      <c r="F21" s="1361"/>
      <c r="G21" s="1369"/>
    </row>
    <row r="22" spans="1:7" s="914" customFormat="1" ht="22.5" customHeight="1">
      <c r="A22" s="1346"/>
      <c r="B22" s="927" t="s">
        <v>193</v>
      </c>
      <c r="C22" s="915" t="s">
        <v>643</v>
      </c>
      <c r="D22" s="911"/>
      <c r="E22" s="912">
        <v>397900</v>
      </c>
      <c r="F22" s="1351">
        <v>448043.25</v>
      </c>
      <c r="G22" s="1362">
        <v>0.864</v>
      </c>
    </row>
    <row r="23" spans="1:7" s="914" customFormat="1" ht="22.5" customHeight="1">
      <c r="A23" s="1346"/>
      <c r="B23" s="927" t="s">
        <v>193</v>
      </c>
      <c r="C23" s="915" t="s">
        <v>639</v>
      </c>
      <c r="D23" s="911" t="s">
        <v>640</v>
      </c>
      <c r="E23" s="912">
        <v>120700</v>
      </c>
      <c r="F23" s="1352"/>
      <c r="G23" s="1368"/>
    </row>
    <row r="24" spans="1:7" s="914" customFormat="1" ht="22.5" customHeight="1">
      <c r="A24" s="1346"/>
      <c r="B24" s="927" t="s">
        <v>680</v>
      </c>
      <c r="C24" s="915" t="s">
        <v>641</v>
      </c>
      <c r="D24" s="911" t="s">
        <v>642</v>
      </c>
      <c r="E24" s="912">
        <v>-70600</v>
      </c>
      <c r="F24" s="929">
        <v>-70570.52</v>
      </c>
      <c r="G24" s="916">
        <f>F24/E24</f>
        <v>0.9995824362606233</v>
      </c>
    </row>
    <row r="25" spans="1:7" s="914" customFormat="1" ht="22.5" customHeight="1">
      <c r="A25" s="1346"/>
      <c r="B25" s="927" t="s">
        <v>682</v>
      </c>
      <c r="C25" s="915" t="s">
        <v>644</v>
      </c>
      <c r="D25" s="911" t="s">
        <v>645</v>
      </c>
      <c r="E25" s="912">
        <v>283700</v>
      </c>
      <c r="F25" s="928">
        <v>174025.39</v>
      </c>
      <c r="G25" s="916">
        <f>F25/E25</f>
        <v>0.6134134296792387</v>
      </c>
    </row>
    <row r="26" spans="1:7" s="914" customFormat="1" ht="27.75" customHeight="1">
      <c r="A26" s="1346"/>
      <c r="B26" s="927"/>
      <c r="C26" s="915" t="s">
        <v>648</v>
      </c>
      <c r="D26" s="911"/>
      <c r="E26" s="912">
        <v>9237600</v>
      </c>
      <c r="F26" s="1351">
        <v>4106546.26</v>
      </c>
      <c r="G26" s="1362">
        <v>0.218</v>
      </c>
    </row>
    <row r="27" spans="1:7" s="914" customFormat="1" ht="22.5" customHeight="1">
      <c r="A27" s="1346"/>
      <c r="B27" s="927" t="s">
        <v>119</v>
      </c>
      <c r="C27" s="915" t="s">
        <v>646</v>
      </c>
      <c r="D27" s="911" t="s">
        <v>647</v>
      </c>
      <c r="E27" s="912">
        <v>5340500</v>
      </c>
      <c r="F27" s="1354"/>
      <c r="G27" s="1368"/>
    </row>
    <row r="28" spans="1:7" s="914" customFormat="1" ht="22.5" customHeight="1">
      <c r="A28" s="1346"/>
      <c r="B28" s="927" t="s">
        <v>119</v>
      </c>
      <c r="C28" s="915" t="s">
        <v>646</v>
      </c>
      <c r="D28" s="911" t="s">
        <v>649</v>
      </c>
      <c r="E28" s="912">
        <v>4225000</v>
      </c>
      <c r="F28" s="1352"/>
      <c r="G28" s="1369"/>
    </row>
    <row r="29" spans="1:7" s="914" customFormat="1" ht="22.5" customHeight="1">
      <c r="A29" s="1346"/>
      <c r="B29" s="927" t="s">
        <v>119</v>
      </c>
      <c r="C29" s="915" t="s">
        <v>677</v>
      </c>
      <c r="D29" s="911" t="s">
        <v>654</v>
      </c>
      <c r="E29" s="912">
        <v>373000</v>
      </c>
      <c r="F29" s="929">
        <v>373012</v>
      </c>
      <c r="G29" s="916">
        <f aca="true" t="shared" si="1" ref="G29:G44">F29/E29</f>
        <v>1.0000321715817695</v>
      </c>
    </row>
    <row r="30" spans="1:7" s="914" customFormat="1" ht="22.5" customHeight="1">
      <c r="A30" s="1346"/>
      <c r="B30" s="927" t="s">
        <v>119</v>
      </c>
      <c r="C30" s="915" t="s">
        <v>677</v>
      </c>
      <c r="D30" s="911" t="s">
        <v>655</v>
      </c>
      <c r="E30" s="912">
        <v>148900</v>
      </c>
      <c r="F30" s="929">
        <v>148902.4</v>
      </c>
      <c r="G30" s="916">
        <f t="shared" si="1"/>
        <v>1.0000161182001344</v>
      </c>
    </row>
    <row r="31" spans="1:7" s="914" customFormat="1" ht="22.5" customHeight="1">
      <c r="A31" s="1346"/>
      <c r="B31" s="927" t="s">
        <v>119</v>
      </c>
      <c r="C31" s="915" t="s">
        <v>677</v>
      </c>
      <c r="D31" s="911" t="s">
        <v>656</v>
      </c>
      <c r="E31" s="912">
        <v>1132900</v>
      </c>
      <c r="F31" s="929">
        <v>1132851.6</v>
      </c>
      <c r="G31" s="916">
        <f t="shared" si="1"/>
        <v>0.9999572777826817</v>
      </c>
    </row>
    <row r="32" spans="1:7" s="914" customFormat="1" ht="22.5" customHeight="1">
      <c r="A32" s="1346"/>
      <c r="B32" s="927" t="s">
        <v>119</v>
      </c>
      <c r="C32" s="915" t="s">
        <v>677</v>
      </c>
      <c r="D32" s="911" t="s">
        <v>657</v>
      </c>
      <c r="E32" s="912">
        <v>622200</v>
      </c>
      <c r="F32" s="929">
        <v>622120.8</v>
      </c>
      <c r="G32" s="916">
        <f t="shared" si="1"/>
        <v>0.9998727097396336</v>
      </c>
    </row>
    <row r="33" spans="1:7" s="914" customFormat="1" ht="22.5" customHeight="1">
      <c r="A33" s="1346"/>
      <c r="B33" s="927" t="s">
        <v>119</v>
      </c>
      <c r="C33" s="915" t="s">
        <v>677</v>
      </c>
      <c r="D33" s="911" t="s">
        <v>658</v>
      </c>
      <c r="E33" s="912">
        <v>345600</v>
      </c>
      <c r="F33" s="929">
        <v>345609.2</v>
      </c>
      <c r="G33" s="916">
        <f t="shared" si="1"/>
        <v>1.0000266203703705</v>
      </c>
    </row>
    <row r="34" spans="1:7" s="914" customFormat="1" ht="22.5" customHeight="1">
      <c r="A34" s="1346"/>
      <c r="B34" s="927" t="s">
        <v>119</v>
      </c>
      <c r="C34" s="915" t="s">
        <v>677</v>
      </c>
      <c r="D34" s="911" t="s">
        <v>659</v>
      </c>
      <c r="E34" s="912">
        <v>1545300</v>
      </c>
      <c r="F34" s="929">
        <v>1545337.6</v>
      </c>
      <c r="G34" s="916">
        <f t="shared" si="1"/>
        <v>1.0000243318449493</v>
      </c>
    </row>
    <row r="35" spans="1:7" s="914" customFormat="1" ht="22.5" customHeight="1">
      <c r="A35" s="1346"/>
      <c r="B35" s="927" t="s">
        <v>119</v>
      </c>
      <c r="C35" s="915" t="s">
        <v>677</v>
      </c>
      <c r="D35" s="911" t="s">
        <v>678</v>
      </c>
      <c r="E35" s="912">
        <v>2103900</v>
      </c>
      <c r="F35" s="929">
        <v>2103900</v>
      </c>
      <c r="G35" s="916">
        <f t="shared" si="1"/>
        <v>1</v>
      </c>
    </row>
    <row r="36" spans="1:7" s="914" customFormat="1" ht="22.5" customHeight="1">
      <c r="A36" s="1346"/>
      <c r="B36" s="927" t="s">
        <v>119</v>
      </c>
      <c r="C36" s="915" t="s">
        <v>677</v>
      </c>
      <c r="D36" s="911" t="s">
        <v>679</v>
      </c>
      <c r="E36" s="912">
        <v>2170500</v>
      </c>
      <c r="F36" s="929">
        <v>2170592</v>
      </c>
      <c r="G36" s="916">
        <f t="shared" si="1"/>
        <v>1.0000423865468786</v>
      </c>
    </row>
    <row r="37" spans="1:7" s="914" customFormat="1" ht="22.5" customHeight="1">
      <c r="A37" s="1346"/>
      <c r="B37" s="927" t="s">
        <v>119</v>
      </c>
      <c r="C37" s="915" t="s">
        <v>677</v>
      </c>
      <c r="D37" s="911" t="s">
        <v>681</v>
      </c>
      <c r="E37" s="912">
        <v>550000</v>
      </c>
      <c r="F37" s="929">
        <v>549991</v>
      </c>
      <c r="G37" s="916">
        <f t="shared" si="1"/>
        <v>0.9999836363636364</v>
      </c>
    </row>
    <row r="38" spans="1:7" s="914" customFormat="1" ht="22.5" customHeight="1">
      <c r="A38" s="1346"/>
      <c r="B38" s="927" t="s">
        <v>119</v>
      </c>
      <c r="C38" s="915" t="s">
        <v>677</v>
      </c>
      <c r="D38" s="911" t="s">
        <v>687</v>
      </c>
      <c r="E38" s="912">
        <v>2721400</v>
      </c>
      <c r="F38" s="929">
        <v>2721403</v>
      </c>
      <c r="G38" s="916">
        <f t="shared" si="1"/>
        <v>1.0000011023737783</v>
      </c>
    </row>
    <row r="39" spans="1:7" s="914" customFormat="1" ht="22.5" customHeight="1">
      <c r="A39" s="1346"/>
      <c r="B39" s="927" t="s">
        <v>119</v>
      </c>
      <c r="C39" s="915" t="s">
        <v>677</v>
      </c>
      <c r="D39" s="911" t="s">
        <v>688</v>
      </c>
      <c r="E39" s="912">
        <v>2936800</v>
      </c>
      <c r="F39" s="929">
        <v>2936709</v>
      </c>
      <c r="G39" s="916">
        <f t="shared" si="1"/>
        <v>0.9999690138926723</v>
      </c>
    </row>
    <row r="40" spans="1:7" s="914" customFormat="1" ht="22.5" customHeight="1">
      <c r="A40" s="1346"/>
      <c r="B40" s="927" t="s">
        <v>119</v>
      </c>
      <c r="C40" s="915" t="s">
        <v>677</v>
      </c>
      <c r="D40" s="911" t="s">
        <v>689</v>
      </c>
      <c r="E40" s="912">
        <v>171400</v>
      </c>
      <c r="F40" s="929">
        <v>171372.8</v>
      </c>
      <c r="G40" s="916">
        <f t="shared" si="1"/>
        <v>0.9998413068844807</v>
      </c>
    </row>
    <row r="41" spans="1:7" s="914" customFormat="1" ht="22.5" customHeight="1">
      <c r="A41" s="1346"/>
      <c r="B41" s="927" t="s">
        <v>119</v>
      </c>
      <c r="C41" s="915" t="s">
        <v>677</v>
      </c>
      <c r="D41" s="911" t="s">
        <v>693</v>
      </c>
      <c r="E41" s="912">
        <v>272900</v>
      </c>
      <c r="F41" s="929">
        <v>272873.2</v>
      </c>
      <c r="G41" s="916">
        <f t="shared" si="1"/>
        <v>0.999901795529498</v>
      </c>
    </row>
    <row r="42" spans="1:7" s="914" customFormat="1" ht="22.5" customHeight="1">
      <c r="A42" s="1346"/>
      <c r="B42" s="927" t="s">
        <v>119</v>
      </c>
      <c r="C42" s="915" t="s">
        <v>677</v>
      </c>
      <c r="D42" s="911" t="s">
        <v>694</v>
      </c>
      <c r="E42" s="912">
        <v>445100</v>
      </c>
      <c r="F42" s="929">
        <v>445128.8</v>
      </c>
      <c r="G42" s="916">
        <f t="shared" si="1"/>
        <v>1.000064704560773</v>
      </c>
    </row>
    <row r="43" spans="1:7" s="914" customFormat="1" ht="22.5" customHeight="1">
      <c r="A43" s="1355"/>
      <c r="B43" s="927" t="s">
        <v>119</v>
      </c>
      <c r="C43" s="915" t="s">
        <v>677</v>
      </c>
      <c r="D43" s="911" t="s">
        <v>695</v>
      </c>
      <c r="E43" s="912">
        <v>141900</v>
      </c>
      <c r="F43" s="929">
        <v>141898.4</v>
      </c>
      <c r="G43" s="916">
        <f t="shared" si="1"/>
        <v>0.9999887244538407</v>
      </c>
    </row>
    <row r="44" spans="1:7" s="914" customFormat="1" ht="40.5" customHeight="1" thickBot="1">
      <c r="A44" s="989"/>
      <c r="B44" s="990"/>
      <c r="C44" s="991" t="s">
        <v>239</v>
      </c>
      <c r="D44" s="991"/>
      <c r="E44" s="992">
        <f>SUM(E3:E43)</f>
        <v>69180300</v>
      </c>
      <c r="F44" s="992">
        <f>SUM(F3:F43)</f>
        <v>53438931.22999999</v>
      </c>
      <c r="G44" s="993">
        <f t="shared" si="1"/>
        <v>0.7724587957843488</v>
      </c>
    </row>
    <row r="45" spans="1:7" s="914" customFormat="1" ht="48" customHeight="1" thickBot="1">
      <c r="A45" s="1358" t="s">
        <v>727</v>
      </c>
      <c r="B45" s="1358"/>
      <c r="C45" s="1358"/>
      <c r="D45" s="1358"/>
      <c r="E45" s="1358"/>
      <c r="F45" s="1358"/>
      <c r="G45" s="1358"/>
    </row>
    <row r="46" spans="1:7" s="914" customFormat="1" ht="41.25" customHeight="1" thickBot="1">
      <c r="A46" s="982" t="s">
        <v>26</v>
      </c>
      <c r="B46" s="983" t="s">
        <v>234</v>
      </c>
      <c r="C46" s="984" t="s">
        <v>235</v>
      </c>
      <c r="D46" s="984" t="s">
        <v>236</v>
      </c>
      <c r="E46" s="985" t="s">
        <v>114</v>
      </c>
      <c r="F46" s="986" t="s">
        <v>240</v>
      </c>
      <c r="G46" s="987" t="s">
        <v>238</v>
      </c>
    </row>
    <row r="47" spans="1:7" s="914" customFormat="1" ht="22.5" customHeight="1" thickTop="1">
      <c r="A47" s="1345" t="s">
        <v>715</v>
      </c>
      <c r="B47" s="930"/>
      <c r="C47" s="905" t="s">
        <v>650</v>
      </c>
      <c r="D47" s="931"/>
      <c r="E47" s="907">
        <v>2204700</v>
      </c>
      <c r="F47" s="1353">
        <v>1356210.97</v>
      </c>
      <c r="G47" s="1365">
        <f>F47/E47</f>
        <v>0.6151453576450311</v>
      </c>
    </row>
    <row r="48" spans="1:7" s="914" customFormat="1" ht="22.5" customHeight="1">
      <c r="A48" s="1370"/>
      <c r="B48" s="927" t="s">
        <v>128</v>
      </c>
      <c r="C48" s="915" t="s">
        <v>650</v>
      </c>
      <c r="D48" s="911" t="s">
        <v>670</v>
      </c>
      <c r="E48" s="912">
        <v>550600</v>
      </c>
      <c r="F48" s="1354"/>
      <c r="G48" s="1363"/>
    </row>
    <row r="49" spans="1:7" s="914" customFormat="1" ht="22.5" customHeight="1">
      <c r="A49" s="1370"/>
      <c r="B49" s="927" t="s">
        <v>128</v>
      </c>
      <c r="C49" s="915" t="s">
        <v>650</v>
      </c>
      <c r="D49" s="911" t="s">
        <v>696</v>
      </c>
      <c r="E49" s="912">
        <v>363500</v>
      </c>
      <c r="F49" s="1354"/>
      <c r="G49" s="1363"/>
    </row>
    <row r="50" spans="1:7" s="914" customFormat="1" ht="22.5" customHeight="1">
      <c r="A50" s="1370"/>
      <c r="B50" s="927" t="s">
        <v>128</v>
      </c>
      <c r="C50" s="915" t="s">
        <v>673</v>
      </c>
      <c r="D50" s="911" t="s">
        <v>674</v>
      </c>
      <c r="E50" s="912">
        <v>-848500</v>
      </c>
      <c r="F50" s="1352"/>
      <c r="G50" s="1364"/>
    </row>
    <row r="51" spans="1:7" s="914" customFormat="1" ht="22.5" customHeight="1">
      <c r="A51" s="1370"/>
      <c r="B51" s="927" t="s">
        <v>119</v>
      </c>
      <c r="C51" s="919" t="s">
        <v>665</v>
      </c>
      <c r="D51" s="911" t="s">
        <v>666</v>
      </c>
      <c r="E51" s="912">
        <v>1406800</v>
      </c>
      <c r="F51" s="1351">
        <v>3107720</v>
      </c>
      <c r="G51" s="1362">
        <v>0.32</v>
      </c>
    </row>
    <row r="52" spans="1:7" s="914" customFormat="1" ht="22.5" customHeight="1">
      <c r="A52" s="1370"/>
      <c r="B52" s="927" t="s">
        <v>668</v>
      </c>
      <c r="C52" s="915" t="s">
        <v>665</v>
      </c>
      <c r="D52" s="911" t="s">
        <v>669</v>
      </c>
      <c r="E52" s="912">
        <v>4830200</v>
      </c>
      <c r="F52" s="1354"/>
      <c r="G52" s="1363"/>
    </row>
    <row r="53" spans="1:7" s="914" customFormat="1" ht="41.25" customHeight="1">
      <c r="A53" s="1370"/>
      <c r="B53" s="911" t="s">
        <v>690</v>
      </c>
      <c r="C53" s="915" t="s">
        <v>665</v>
      </c>
      <c r="D53" s="911" t="s">
        <v>691</v>
      </c>
      <c r="E53" s="912">
        <v>3469600</v>
      </c>
      <c r="F53" s="1352"/>
      <c r="G53" s="1364"/>
    </row>
    <row r="54" spans="1:7" s="914" customFormat="1" ht="22.5" customHeight="1">
      <c r="A54" s="1370"/>
      <c r="B54" s="927" t="s">
        <v>128</v>
      </c>
      <c r="C54" s="915" t="s">
        <v>672</v>
      </c>
      <c r="D54" s="911" t="s">
        <v>645</v>
      </c>
      <c r="E54" s="1337">
        <v>-3910400</v>
      </c>
      <c r="F54" s="929"/>
      <c r="G54" s="916"/>
    </row>
    <row r="55" spans="1:7" s="914" customFormat="1" ht="22.5" customHeight="1">
      <c r="A55" s="1370"/>
      <c r="B55" s="932" t="s">
        <v>119</v>
      </c>
      <c r="C55" s="933" t="s">
        <v>675</v>
      </c>
      <c r="D55" s="934" t="s">
        <v>676</v>
      </c>
      <c r="E55" s="935">
        <v>-26.7</v>
      </c>
      <c r="F55" s="928">
        <v>-26724.6</v>
      </c>
      <c r="G55" s="936"/>
    </row>
    <row r="56" spans="1:7" s="914" customFormat="1" ht="39.75" customHeight="1" thickBot="1">
      <c r="A56" s="989"/>
      <c r="B56" s="994"/>
      <c r="C56" s="995" t="s">
        <v>239</v>
      </c>
      <c r="D56" s="995"/>
      <c r="E56" s="996">
        <f>SUM(E47:E55)</f>
        <v>8066473.3</v>
      </c>
      <c r="F56" s="996">
        <f>SUM(F47:F55)</f>
        <v>4437206.37</v>
      </c>
      <c r="G56" s="993">
        <f>F56/E56</f>
        <v>0.5500800913826864</v>
      </c>
    </row>
    <row r="57" spans="1:7" s="914" customFormat="1" ht="48" customHeight="1">
      <c r="A57" s="1356" t="s">
        <v>726</v>
      </c>
      <c r="B57" s="1356"/>
      <c r="C57" s="1356"/>
      <c r="D57" s="1356"/>
      <c r="E57" s="1356"/>
      <c r="F57" s="1356"/>
      <c r="G57" s="1356"/>
    </row>
    <row r="58" spans="1:7" s="914" customFormat="1" ht="0.75" customHeight="1" thickBot="1">
      <c r="A58" s="1357"/>
      <c r="B58" s="1357"/>
      <c r="C58" s="1357"/>
      <c r="D58" s="1357"/>
      <c r="E58" s="1357"/>
      <c r="F58" s="1357"/>
      <c r="G58" s="1357"/>
    </row>
    <row r="59" spans="1:7" s="914" customFormat="1" ht="40.5" customHeight="1" thickBot="1">
      <c r="A59" s="982" t="s">
        <v>26</v>
      </c>
      <c r="B59" s="983" t="s">
        <v>234</v>
      </c>
      <c r="C59" s="984" t="s">
        <v>235</v>
      </c>
      <c r="D59" s="984" t="s">
        <v>236</v>
      </c>
      <c r="E59" s="985" t="s">
        <v>114</v>
      </c>
      <c r="F59" s="986" t="s">
        <v>240</v>
      </c>
      <c r="G59" s="987" t="s">
        <v>238</v>
      </c>
    </row>
    <row r="60" spans="1:7" s="914" customFormat="1" ht="31.5" customHeight="1" hidden="1" thickBot="1" thickTop="1">
      <c r="A60" s="938"/>
      <c r="B60" s="939" t="s">
        <v>119</v>
      </c>
      <c r="C60" s="940" t="s">
        <v>241</v>
      </c>
      <c r="D60" s="941" t="s">
        <v>242</v>
      </c>
      <c r="E60" s="942">
        <v>0</v>
      </c>
      <c r="F60" s="943">
        <f>SUM(F58:F58)</f>
        <v>0</v>
      </c>
      <c r="G60" s="944" t="e">
        <f>F60/E60</f>
        <v>#DIV/0!</v>
      </c>
    </row>
    <row r="61" spans="1:7" s="914" customFormat="1" ht="15.75" customHeight="1" hidden="1" thickBot="1">
      <c r="A61" s="945"/>
      <c r="B61" s="946"/>
      <c r="C61" s="947"/>
      <c r="D61" s="948"/>
      <c r="E61" s="949"/>
      <c r="F61" s="949"/>
      <c r="G61" s="916"/>
    </row>
    <row r="62" spans="1:7" s="914" customFormat="1" ht="15.75" customHeight="1" hidden="1" thickBot="1">
      <c r="A62" s="945"/>
      <c r="B62" s="946"/>
      <c r="C62" s="947"/>
      <c r="D62" s="948"/>
      <c r="E62" s="949"/>
      <c r="F62" s="949"/>
      <c r="G62" s="916"/>
    </row>
    <row r="63" spans="1:7" s="914" customFormat="1" ht="15.75" customHeight="1" hidden="1" thickBot="1">
      <c r="A63" s="945"/>
      <c r="B63" s="946"/>
      <c r="C63" s="947"/>
      <c r="D63" s="948"/>
      <c r="E63" s="950"/>
      <c r="F63" s="950"/>
      <c r="G63" s="936"/>
    </row>
    <row r="64" spans="1:7" s="914" customFormat="1" ht="15.75" customHeight="1" hidden="1" thickBot="1">
      <c r="A64" s="945"/>
      <c r="B64" s="951"/>
      <c r="C64" s="947"/>
      <c r="D64" s="952"/>
      <c r="E64" s="950"/>
      <c r="F64" s="950"/>
      <c r="G64" s="936"/>
    </row>
    <row r="65" spans="1:7" s="914" customFormat="1" ht="28.5" customHeight="1" thickTop="1">
      <c r="A65" s="1345" t="s">
        <v>6</v>
      </c>
      <c r="B65" s="953" t="s">
        <v>652</v>
      </c>
      <c r="C65" s="952" t="s">
        <v>285</v>
      </c>
      <c r="D65" s="954" t="s">
        <v>577</v>
      </c>
      <c r="E65" s="950">
        <v>259000</v>
      </c>
      <c r="F65" s="955">
        <v>255962.35</v>
      </c>
      <c r="G65" s="908">
        <f aca="true" t="shared" si="2" ref="G65:G90">F65/E65</f>
        <v>0.9882716216216216</v>
      </c>
    </row>
    <row r="66" spans="1:7" s="914" customFormat="1" ht="20.25" customHeight="1">
      <c r="A66" s="1346"/>
      <c r="B66" s="956" t="s">
        <v>134</v>
      </c>
      <c r="C66" s="952" t="s">
        <v>572</v>
      </c>
      <c r="D66" s="954" t="s">
        <v>578</v>
      </c>
      <c r="E66" s="950">
        <v>61100</v>
      </c>
      <c r="F66" s="955">
        <v>61100</v>
      </c>
      <c r="G66" s="916">
        <f t="shared" si="2"/>
        <v>1</v>
      </c>
    </row>
    <row r="67" spans="1:7" s="914" customFormat="1" ht="20.25" customHeight="1">
      <c r="A67" s="1346"/>
      <c r="B67" s="956" t="s">
        <v>57</v>
      </c>
      <c r="C67" s="952" t="s">
        <v>573</v>
      </c>
      <c r="D67" s="954" t="s">
        <v>579</v>
      </c>
      <c r="E67" s="950">
        <v>350000</v>
      </c>
      <c r="F67" s="955">
        <v>77630</v>
      </c>
      <c r="G67" s="916">
        <f t="shared" si="2"/>
        <v>0.2218</v>
      </c>
    </row>
    <row r="68" spans="1:7" s="914" customFormat="1" ht="20.25" customHeight="1">
      <c r="A68" s="1346"/>
      <c r="B68" s="956" t="s">
        <v>121</v>
      </c>
      <c r="C68" s="952" t="s">
        <v>574</v>
      </c>
      <c r="D68" s="954" t="s">
        <v>580</v>
      </c>
      <c r="E68" s="950">
        <v>50000</v>
      </c>
      <c r="F68" s="955">
        <v>50000</v>
      </c>
      <c r="G68" s="916">
        <f t="shared" si="2"/>
        <v>1</v>
      </c>
    </row>
    <row r="69" spans="1:7" s="914" customFormat="1" ht="20.25" customHeight="1">
      <c r="A69" s="1346"/>
      <c r="B69" s="956" t="s">
        <v>121</v>
      </c>
      <c r="C69" s="952" t="s">
        <v>575</v>
      </c>
      <c r="D69" s="954" t="s">
        <v>580</v>
      </c>
      <c r="E69" s="950">
        <v>153000</v>
      </c>
      <c r="F69" s="955">
        <v>153000</v>
      </c>
      <c r="G69" s="916">
        <f t="shared" si="2"/>
        <v>1</v>
      </c>
    </row>
    <row r="70" spans="1:7" s="914" customFormat="1" ht="20.25" customHeight="1">
      <c r="A70" s="1346"/>
      <c r="B70" s="956" t="s">
        <v>121</v>
      </c>
      <c r="C70" s="948" t="s">
        <v>576</v>
      </c>
      <c r="D70" s="954" t="s">
        <v>580</v>
      </c>
      <c r="E70" s="950">
        <v>100000</v>
      </c>
      <c r="F70" s="955">
        <v>100000</v>
      </c>
      <c r="G70" s="916">
        <f t="shared" si="2"/>
        <v>1</v>
      </c>
    </row>
    <row r="71" spans="1:7" s="914" customFormat="1" ht="20.25" customHeight="1">
      <c r="A71" s="1346"/>
      <c r="B71" s="956" t="s">
        <v>119</v>
      </c>
      <c r="C71" s="915" t="s">
        <v>581</v>
      </c>
      <c r="D71" s="954" t="s">
        <v>582</v>
      </c>
      <c r="E71" s="949">
        <v>1690600</v>
      </c>
      <c r="F71" s="955">
        <v>1690600</v>
      </c>
      <c r="G71" s="916">
        <f t="shared" si="2"/>
        <v>1</v>
      </c>
    </row>
    <row r="72" spans="1:7" s="914" customFormat="1" ht="20.25" customHeight="1">
      <c r="A72" s="1346"/>
      <c r="B72" s="956" t="s">
        <v>119</v>
      </c>
      <c r="C72" s="915" t="s">
        <v>583</v>
      </c>
      <c r="D72" s="954" t="s">
        <v>584</v>
      </c>
      <c r="E72" s="949">
        <v>16975600</v>
      </c>
      <c r="F72" s="955">
        <v>16975600</v>
      </c>
      <c r="G72" s="916">
        <f t="shared" si="2"/>
        <v>1</v>
      </c>
    </row>
    <row r="73" spans="1:7" s="914" customFormat="1" ht="20.25" customHeight="1">
      <c r="A73" s="1346"/>
      <c r="B73" s="957" t="s">
        <v>119</v>
      </c>
      <c r="C73" s="915" t="s">
        <v>583</v>
      </c>
      <c r="D73" s="954" t="s">
        <v>585</v>
      </c>
      <c r="E73" s="949">
        <v>2023800</v>
      </c>
      <c r="F73" s="955">
        <v>2023800</v>
      </c>
      <c r="G73" s="916">
        <f t="shared" si="2"/>
        <v>1</v>
      </c>
    </row>
    <row r="74" spans="1:7" s="914" customFormat="1" ht="20.25" customHeight="1">
      <c r="A74" s="1346"/>
      <c r="B74" s="956" t="s">
        <v>119</v>
      </c>
      <c r="C74" s="915" t="s">
        <v>586</v>
      </c>
      <c r="D74" s="954" t="s">
        <v>587</v>
      </c>
      <c r="E74" s="949">
        <v>28100</v>
      </c>
      <c r="F74" s="955">
        <v>28140</v>
      </c>
      <c r="G74" s="916">
        <f t="shared" si="2"/>
        <v>1.001423487544484</v>
      </c>
    </row>
    <row r="75" spans="1:7" s="914" customFormat="1" ht="19.5" customHeight="1">
      <c r="A75" s="1346"/>
      <c r="B75" s="956" t="s">
        <v>121</v>
      </c>
      <c r="C75" s="915" t="s">
        <v>588</v>
      </c>
      <c r="D75" s="954" t="s">
        <v>595</v>
      </c>
      <c r="E75" s="949">
        <v>4400000</v>
      </c>
      <c r="F75" s="955">
        <v>4400000</v>
      </c>
      <c r="G75" s="916">
        <f t="shared" si="2"/>
        <v>1</v>
      </c>
    </row>
    <row r="76" spans="1:7" s="914" customFormat="1" ht="19.5" customHeight="1">
      <c r="A76" s="958"/>
      <c r="B76" s="956" t="s">
        <v>119</v>
      </c>
      <c r="C76" s="915" t="s">
        <v>589</v>
      </c>
      <c r="D76" s="954" t="s">
        <v>596</v>
      </c>
      <c r="E76" s="949">
        <v>136000</v>
      </c>
      <c r="F76" s="955">
        <v>136000</v>
      </c>
      <c r="G76" s="916">
        <f t="shared" si="2"/>
        <v>1</v>
      </c>
    </row>
    <row r="77" spans="1:7" s="914" customFormat="1" ht="19.5" customHeight="1">
      <c r="A77" s="958"/>
      <c r="B77" s="956" t="s">
        <v>119</v>
      </c>
      <c r="C77" s="915" t="s">
        <v>590</v>
      </c>
      <c r="D77" s="954" t="s">
        <v>597</v>
      </c>
      <c r="E77" s="949">
        <v>500000</v>
      </c>
      <c r="F77" s="955">
        <v>500000</v>
      </c>
      <c r="G77" s="916">
        <f t="shared" si="2"/>
        <v>1</v>
      </c>
    </row>
    <row r="78" spans="1:7" s="914" customFormat="1" ht="19.5" customHeight="1">
      <c r="A78" s="958"/>
      <c r="B78" s="956" t="s">
        <v>119</v>
      </c>
      <c r="C78" s="915" t="s">
        <v>591</v>
      </c>
      <c r="D78" s="954" t="s">
        <v>598</v>
      </c>
      <c r="E78" s="949">
        <v>267000</v>
      </c>
      <c r="F78" s="955">
        <v>265200</v>
      </c>
      <c r="G78" s="936">
        <f t="shared" si="2"/>
        <v>0.9932584269662922</v>
      </c>
    </row>
    <row r="79" spans="1:7" s="914" customFormat="1" ht="19.5" customHeight="1">
      <c r="A79" s="958"/>
      <c r="B79" s="957" t="s">
        <v>121</v>
      </c>
      <c r="C79" s="915" t="s">
        <v>592</v>
      </c>
      <c r="D79" s="954" t="s">
        <v>599</v>
      </c>
      <c r="E79" s="949">
        <v>100000</v>
      </c>
      <c r="F79" s="955">
        <v>99981</v>
      </c>
      <c r="G79" s="936">
        <f t="shared" si="2"/>
        <v>0.99981</v>
      </c>
    </row>
    <row r="80" spans="1:7" s="914" customFormat="1" ht="19.5" customHeight="1">
      <c r="A80" s="958"/>
      <c r="B80" s="957" t="s">
        <v>213</v>
      </c>
      <c r="C80" s="915" t="s">
        <v>593</v>
      </c>
      <c r="D80" s="954" t="s">
        <v>600</v>
      </c>
      <c r="E80" s="949">
        <v>90000</v>
      </c>
      <c r="F80" s="955">
        <v>90000</v>
      </c>
      <c r="G80" s="936">
        <f t="shared" si="2"/>
        <v>1</v>
      </c>
    </row>
    <row r="81" spans="1:7" s="914" customFormat="1" ht="19.5" customHeight="1">
      <c r="A81" s="958"/>
      <c r="B81" s="957" t="s">
        <v>119</v>
      </c>
      <c r="C81" s="933" t="s">
        <v>594</v>
      </c>
      <c r="D81" s="959" t="s">
        <v>601</v>
      </c>
      <c r="E81" s="950">
        <v>100000</v>
      </c>
      <c r="F81" s="960">
        <v>66455.2</v>
      </c>
      <c r="G81" s="916">
        <f t="shared" si="2"/>
        <v>0.6645519999999999</v>
      </c>
    </row>
    <row r="82" spans="1:7" s="914" customFormat="1" ht="19.5" customHeight="1">
      <c r="A82" s="958"/>
      <c r="B82" s="961" t="s">
        <v>692</v>
      </c>
      <c r="C82" s="962" t="s">
        <v>610</v>
      </c>
      <c r="D82" s="963"/>
      <c r="E82" s="964">
        <v>35460890.17</v>
      </c>
      <c r="F82" s="964">
        <v>27832423.59</v>
      </c>
      <c r="G82" s="913">
        <f t="shared" si="2"/>
        <v>0.7848766191872504</v>
      </c>
    </row>
    <row r="83" spans="1:7" s="914" customFormat="1" ht="19.5" customHeight="1">
      <c r="A83" s="958"/>
      <c r="B83" s="925" t="s">
        <v>128</v>
      </c>
      <c r="C83" s="915" t="s">
        <v>697</v>
      </c>
      <c r="D83" s="917" t="s">
        <v>698</v>
      </c>
      <c r="E83" s="949">
        <v>66369800</v>
      </c>
      <c r="F83" s="926">
        <v>29608080.87</v>
      </c>
      <c r="G83" s="936">
        <f t="shared" si="2"/>
        <v>0.4461077307751417</v>
      </c>
    </row>
    <row r="84" spans="1:7" s="914" customFormat="1" ht="31.5" customHeight="1" thickBot="1">
      <c r="A84" s="965"/>
      <c r="B84" s="1348" t="s">
        <v>243</v>
      </c>
      <c r="C84" s="1349"/>
      <c r="D84" s="1350"/>
      <c r="E84" s="966">
        <f>SUM(E65:E83)</f>
        <v>129114890.17</v>
      </c>
      <c r="F84" s="967">
        <f>SUM(F65:F83)</f>
        <v>84413973.01</v>
      </c>
      <c r="G84" s="968">
        <f t="shared" si="2"/>
        <v>0.6537896047377322</v>
      </c>
    </row>
    <row r="85" spans="1:7" s="914" customFormat="1" ht="22.5" customHeight="1">
      <c r="A85" s="1345" t="s">
        <v>25</v>
      </c>
      <c r="B85" s="969"/>
      <c r="C85" s="919" t="s">
        <v>602</v>
      </c>
      <c r="D85" s="970" t="s">
        <v>604</v>
      </c>
      <c r="E85" s="912">
        <v>35000000</v>
      </c>
      <c r="F85" s="912">
        <v>2272380</v>
      </c>
      <c r="G85" s="908">
        <f t="shared" si="2"/>
        <v>0.06492514285714286</v>
      </c>
    </row>
    <row r="86" spans="1:7" s="914" customFormat="1" ht="22.5" customHeight="1">
      <c r="A86" s="1346"/>
      <c r="B86" s="957" t="s">
        <v>119</v>
      </c>
      <c r="C86" s="919" t="s">
        <v>603</v>
      </c>
      <c r="D86" s="970" t="s">
        <v>601</v>
      </c>
      <c r="E86" s="912">
        <v>440000</v>
      </c>
      <c r="F86" s="912">
        <v>440000</v>
      </c>
      <c r="G86" s="916">
        <f t="shared" si="2"/>
        <v>1</v>
      </c>
    </row>
    <row r="87" spans="1:7" s="914" customFormat="1" ht="22.5" customHeight="1">
      <c r="A87" s="1346"/>
      <c r="B87" s="961">
        <v>413</v>
      </c>
      <c r="C87" s="962" t="s">
        <v>606</v>
      </c>
      <c r="D87" s="961" t="s">
        <v>607</v>
      </c>
      <c r="E87" s="926">
        <v>1000000</v>
      </c>
      <c r="F87" s="926">
        <v>0</v>
      </c>
      <c r="G87" s="916">
        <f t="shared" si="2"/>
        <v>0</v>
      </c>
    </row>
    <row r="88" spans="1:7" s="914" customFormat="1" ht="42" customHeight="1">
      <c r="A88" s="1346"/>
      <c r="B88" s="971" t="s">
        <v>663</v>
      </c>
      <c r="C88" s="972" t="s">
        <v>608</v>
      </c>
      <c r="D88" s="973" t="s">
        <v>609</v>
      </c>
      <c r="E88" s="964">
        <v>264435900</v>
      </c>
      <c r="F88" s="964">
        <v>150654776.89</v>
      </c>
      <c r="G88" s="913">
        <f t="shared" si="2"/>
        <v>0.5697213460426515</v>
      </c>
    </row>
    <row r="89" spans="1:7" s="914" customFormat="1" ht="30.75" customHeight="1" thickBot="1">
      <c r="A89" s="1347"/>
      <c r="B89" s="1348" t="s">
        <v>244</v>
      </c>
      <c r="C89" s="1349"/>
      <c r="D89" s="1350"/>
      <c r="E89" s="937">
        <f>SUM(E85:E88)</f>
        <v>300875900</v>
      </c>
      <c r="F89" s="967">
        <f>SUM(F85:F88)</f>
        <v>153367156.89</v>
      </c>
      <c r="G89" s="968">
        <f t="shared" si="2"/>
        <v>0.5097355982649324</v>
      </c>
    </row>
    <row r="90" spans="1:7" s="914" customFormat="1" ht="55.5" customHeight="1" thickBot="1">
      <c r="A90" s="976"/>
      <c r="B90" s="977"/>
      <c r="C90" s="978" t="s">
        <v>239</v>
      </c>
      <c r="D90" s="979"/>
      <c r="E90" s="980">
        <f>E84+E89</f>
        <v>429990790.17</v>
      </c>
      <c r="F90" s="980">
        <f>F84+F89</f>
        <v>237781129.89999998</v>
      </c>
      <c r="G90" s="981">
        <f t="shared" si="2"/>
        <v>0.5529912159420705</v>
      </c>
    </row>
    <row r="91" spans="1:7" s="914" customFormat="1" ht="12.75">
      <c r="A91" s="806"/>
      <c r="B91" s="974"/>
      <c r="C91" s="974"/>
      <c r="D91" s="974"/>
      <c r="E91" s="974"/>
      <c r="F91" s="974"/>
      <c r="G91" s="974"/>
    </row>
    <row r="92" spans="2:7" ht="14.25">
      <c r="B92" s="896"/>
      <c r="C92" s="896"/>
      <c r="D92" s="896"/>
      <c r="E92" s="896"/>
      <c r="F92" s="896"/>
      <c r="G92" s="896"/>
    </row>
  </sheetData>
  <sheetProtection/>
  <mergeCells count="21">
    <mergeCell ref="G22:G23"/>
    <mergeCell ref="F16:F18"/>
    <mergeCell ref="G51:G53"/>
    <mergeCell ref="G47:G50"/>
    <mergeCell ref="A1:F1"/>
    <mergeCell ref="F26:F28"/>
    <mergeCell ref="G26:G28"/>
    <mergeCell ref="G16:G18"/>
    <mergeCell ref="A47:A55"/>
    <mergeCell ref="F20:F21"/>
    <mergeCell ref="G20:G21"/>
    <mergeCell ref="A85:A89"/>
    <mergeCell ref="B89:D89"/>
    <mergeCell ref="A65:A75"/>
    <mergeCell ref="F22:F23"/>
    <mergeCell ref="F47:F50"/>
    <mergeCell ref="F51:F53"/>
    <mergeCell ref="B84:D84"/>
    <mergeCell ref="A3:A43"/>
    <mergeCell ref="A57:G58"/>
    <mergeCell ref="A45:G45"/>
  </mergeCells>
  <printOptions/>
  <pageMargins left="0.7086614173228347" right="0.5118110236220472" top="0.7874015748031497" bottom="0.5905511811023623" header="0.31496062992125984" footer="0.31496062992125984"/>
  <pageSetup horizontalDpi="600" verticalDpi="600" orientation="portrait" paperSize="9" scale="69" r:id="rId1"/>
  <headerFooter>
    <oddFooter>&amp;LZávěrečný účet za rok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5"/>
  <sheetViews>
    <sheetView zoomScaleSheetLayoutView="100" zoomScalePageLayoutView="70" workbookViewId="0" topLeftCell="A1">
      <pane ySplit="4" topLeftCell="A20" activePane="bottomLeft" state="frozen"/>
      <selection pane="topLeft" activeCell="B1" sqref="B1"/>
      <selection pane="bottomLeft" activeCell="L33" sqref="L33"/>
    </sheetView>
  </sheetViews>
  <sheetFormatPr defaultColWidth="9.00390625" defaultRowHeight="12.75"/>
  <cols>
    <col min="1" max="1" width="15.00390625" style="757" customWidth="1"/>
    <col min="2" max="2" width="8.00390625" style="757" customWidth="1"/>
    <col min="3" max="3" width="31.625" style="757" customWidth="1"/>
    <col min="4" max="4" width="10.00390625" style="808" customWidth="1"/>
    <col min="5" max="5" width="10.00390625" style="757" customWidth="1"/>
    <col min="6" max="6" width="7.875" style="757" customWidth="1"/>
    <col min="7" max="7" width="11.75390625" style="757" customWidth="1"/>
    <col min="8" max="9" width="10.00390625" style="757" customWidth="1"/>
    <col min="10" max="10" width="7.875" style="757" customWidth="1"/>
    <col min="11" max="11" width="11.75390625" style="757" customWidth="1"/>
    <col min="12" max="13" width="10.00390625" style="757" customWidth="1"/>
    <col min="14" max="14" width="7.875" style="757" customWidth="1"/>
    <col min="15" max="15" width="11.75390625" style="757" customWidth="1"/>
    <col min="16" max="16" width="8.25390625" style="757" customWidth="1"/>
    <col min="17" max="16384" width="9.125" style="757" customWidth="1"/>
  </cols>
  <sheetData>
    <row r="1" spans="1:16" ht="69" customHeight="1" thickBot="1">
      <c r="A1" s="1372" t="s">
        <v>325</v>
      </c>
      <c r="B1" s="1372"/>
      <c r="C1" s="1372"/>
      <c r="D1" s="1372"/>
      <c r="E1" s="1372"/>
      <c r="F1" s="1372"/>
      <c r="G1" s="1372"/>
      <c r="H1" s="1372"/>
      <c r="I1" s="1372"/>
      <c r="J1" s="1372"/>
      <c r="K1" s="1372"/>
      <c r="L1" s="1372"/>
      <c r="M1" s="1372"/>
      <c r="N1" s="1372"/>
      <c r="O1" s="1371" t="s">
        <v>317</v>
      </c>
      <c r="P1" s="1371"/>
    </row>
    <row r="2" spans="1:16" ht="35.25" customHeight="1">
      <c r="A2" s="1393" t="s">
        <v>110</v>
      </c>
      <c r="B2" s="1394"/>
      <c r="C2" s="1395"/>
      <c r="D2" s="1396" t="s">
        <v>543</v>
      </c>
      <c r="E2" s="1397"/>
      <c r="F2" s="1397"/>
      <c r="G2" s="1398"/>
      <c r="H2" s="1396" t="s">
        <v>512</v>
      </c>
      <c r="I2" s="1397"/>
      <c r="J2" s="1397"/>
      <c r="K2" s="1398"/>
      <c r="L2" s="1396" t="s">
        <v>513</v>
      </c>
      <c r="M2" s="1397"/>
      <c r="N2" s="1397"/>
      <c r="O2" s="1397"/>
      <c r="P2" s="1398"/>
    </row>
    <row r="3" spans="1:16" ht="23.25" customHeight="1">
      <c r="A3" s="1381" t="s">
        <v>111</v>
      </c>
      <c r="B3" s="1383" t="s">
        <v>112</v>
      </c>
      <c r="C3" s="1384"/>
      <c r="D3" s="1384" t="s">
        <v>113</v>
      </c>
      <c r="E3" s="1385"/>
      <c r="F3" s="1386"/>
      <c r="G3" s="1387" t="s">
        <v>42</v>
      </c>
      <c r="H3" s="1384" t="s">
        <v>113</v>
      </c>
      <c r="I3" s="1385"/>
      <c r="J3" s="1386"/>
      <c r="K3" s="1387" t="s">
        <v>42</v>
      </c>
      <c r="L3" s="1384" t="s">
        <v>113</v>
      </c>
      <c r="M3" s="1385"/>
      <c r="N3" s="1386"/>
      <c r="O3" s="1387" t="s">
        <v>42</v>
      </c>
      <c r="P3" s="1387" t="s">
        <v>37</v>
      </c>
    </row>
    <row r="4" spans="1:16" ht="29.25" customHeight="1">
      <c r="A4" s="1382"/>
      <c r="B4" s="428" t="s">
        <v>234</v>
      </c>
      <c r="C4" s="429" t="s">
        <v>115</v>
      </c>
      <c r="D4" s="430" t="s">
        <v>514</v>
      </c>
      <c r="E4" s="430" t="s">
        <v>515</v>
      </c>
      <c r="F4" s="751" t="s">
        <v>153</v>
      </c>
      <c r="G4" s="1388"/>
      <c r="H4" s="430" t="s">
        <v>514</v>
      </c>
      <c r="I4" s="430" t="s">
        <v>515</v>
      </c>
      <c r="J4" s="751" t="s">
        <v>153</v>
      </c>
      <c r="K4" s="1388"/>
      <c r="L4" s="430" t="s">
        <v>514</v>
      </c>
      <c r="M4" s="430" t="s">
        <v>515</v>
      </c>
      <c r="N4" s="751" t="s">
        <v>153</v>
      </c>
      <c r="O4" s="1388"/>
      <c r="P4" s="1388"/>
    </row>
    <row r="5" spans="1:16" ht="15" customHeight="1">
      <c r="A5" s="1378" t="s">
        <v>516</v>
      </c>
      <c r="B5" s="431" t="s">
        <v>154</v>
      </c>
      <c r="C5" s="432" t="s">
        <v>155</v>
      </c>
      <c r="D5" s="433">
        <v>300</v>
      </c>
      <c r="E5" s="434"/>
      <c r="F5" s="435"/>
      <c r="G5" s="436">
        <f>SUM(D5:F5)</f>
        <v>300</v>
      </c>
      <c r="H5" s="437">
        <v>300</v>
      </c>
      <c r="I5" s="438"/>
      <c r="J5" s="439"/>
      <c r="K5" s="440">
        <f>SUM(H5:J5)</f>
        <v>300</v>
      </c>
      <c r="L5" s="441">
        <v>224.408</v>
      </c>
      <c r="M5" s="442"/>
      <c r="N5" s="852"/>
      <c r="O5" s="444">
        <f aca="true" t="shared" si="0" ref="O5:O19">SUM(L5:N5)</f>
        <v>224.408</v>
      </c>
      <c r="P5" s="445">
        <f aca="true" t="shared" si="1" ref="P5:P39">O5/K5</f>
        <v>0.7480266666666666</v>
      </c>
    </row>
    <row r="6" spans="1:16" ht="15" customHeight="1">
      <c r="A6" s="1373"/>
      <c r="B6" s="446" t="s">
        <v>156</v>
      </c>
      <c r="C6" s="447" t="s">
        <v>157</v>
      </c>
      <c r="D6" s="448">
        <v>11145</v>
      </c>
      <c r="E6" s="449"/>
      <c r="F6" s="450"/>
      <c r="G6" s="451">
        <f>SUM(D6:F6)</f>
        <v>11145</v>
      </c>
      <c r="H6" s="452">
        <v>11276.8</v>
      </c>
      <c r="I6" s="453"/>
      <c r="J6" s="454"/>
      <c r="K6" s="455">
        <f>SUM(H6:J6)</f>
        <v>11276.8</v>
      </c>
      <c r="L6" s="456">
        <v>8344.9445</v>
      </c>
      <c r="M6" s="875"/>
      <c r="N6" s="513"/>
      <c r="O6" s="455">
        <f t="shared" si="0"/>
        <v>8344.9445</v>
      </c>
      <c r="P6" s="459">
        <f t="shared" si="1"/>
        <v>0.7400099762343928</v>
      </c>
    </row>
    <row r="7" spans="1:16" ht="15" customHeight="1">
      <c r="A7" s="1373"/>
      <c r="B7" s="460" t="s">
        <v>517</v>
      </c>
      <c r="C7" s="461" t="s">
        <v>122</v>
      </c>
      <c r="D7" s="462"/>
      <c r="E7" s="463"/>
      <c r="F7" s="450"/>
      <c r="G7" s="464"/>
      <c r="H7" s="465">
        <v>2500</v>
      </c>
      <c r="I7" s="466"/>
      <c r="J7" s="467"/>
      <c r="K7" s="455">
        <f>SUM(H7:J7)</f>
        <v>2500</v>
      </c>
      <c r="L7" s="468">
        <v>2500.00119</v>
      </c>
      <c r="M7" s="875"/>
      <c r="N7" s="831"/>
      <c r="O7" s="590">
        <f t="shared" si="0"/>
        <v>2500.00119</v>
      </c>
      <c r="P7" s="459"/>
    </row>
    <row r="8" spans="1:16" ht="15" customHeight="1">
      <c r="A8" s="1373"/>
      <c r="B8" s="472" t="s">
        <v>192</v>
      </c>
      <c r="C8" s="473" t="s">
        <v>218</v>
      </c>
      <c r="D8" s="474">
        <v>300</v>
      </c>
      <c r="E8" s="475"/>
      <c r="F8" s="476"/>
      <c r="G8" s="477">
        <f>SUM(D8:E8)</f>
        <v>300</v>
      </c>
      <c r="H8" s="478">
        <v>300</v>
      </c>
      <c r="I8" s="479">
        <v>22298.5</v>
      </c>
      <c r="J8" s="876"/>
      <c r="K8" s="480">
        <f>SUM(H8:J8)</f>
        <v>22598.5</v>
      </c>
      <c r="L8" s="481">
        <v>52.38816</v>
      </c>
      <c r="M8" s="874">
        <v>22055.491</v>
      </c>
      <c r="N8" s="857"/>
      <c r="O8" s="858">
        <f t="shared" si="0"/>
        <v>22107.87916</v>
      </c>
      <c r="P8" s="668">
        <f t="shared" si="1"/>
        <v>0.9782896723233843</v>
      </c>
    </row>
    <row r="9" spans="1:16" ht="30.75" customHeight="1">
      <c r="A9" s="1380"/>
      <c r="B9" s="1400" t="s">
        <v>116</v>
      </c>
      <c r="C9" s="1401"/>
      <c r="D9" s="482">
        <f aca="true" t="shared" si="2" ref="D9:L9">SUM(D5:D8)</f>
        <v>11745</v>
      </c>
      <c r="E9" s="483"/>
      <c r="F9" s="484"/>
      <c r="G9" s="485">
        <f t="shared" si="2"/>
        <v>11745</v>
      </c>
      <c r="H9" s="486">
        <f t="shared" si="2"/>
        <v>14376.8</v>
      </c>
      <c r="I9" s="487">
        <f t="shared" si="2"/>
        <v>22298.5</v>
      </c>
      <c r="J9" s="488"/>
      <c r="K9" s="489">
        <f t="shared" si="2"/>
        <v>36675.3</v>
      </c>
      <c r="L9" s="490">
        <f t="shared" si="2"/>
        <v>11121.74185</v>
      </c>
      <c r="M9" s="491">
        <f>SUM(M5:M8)</f>
        <v>22055.491</v>
      </c>
      <c r="N9" s="491"/>
      <c r="O9" s="485">
        <f t="shared" si="0"/>
        <v>33177.23285</v>
      </c>
      <c r="P9" s="669">
        <f t="shared" si="1"/>
        <v>0.9046206261434807</v>
      </c>
    </row>
    <row r="10" spans="1:16" ht="15" customHeight="1">
      <c r="A10" s="1373" t="s">
        <v>518</v>
      </c>
      <c r="B10" s="492" t="s">
        <v>475</v>
      </c>
      <c r="C10" s="493" t="s">
        <v>155</v>
      </c>
      <c r="D10" s="494"/>
      <c r="E10" s="495">
        <v>14000</v>
      </c>
      <c r="F10" s="496"/>
      <c r="G10" s="464">
        <f>SUM(D10:F10)</f>
        <v>14000</v>
      </c>
      <c r="H10" s="442"/>
      <c r="I10" s="442">
        <v>800</v>
      </c>
      <c r="J10" s="454"/>
      <c r="K10" s="444">
        <f>SUM(H10:J10)</f>
        <v>800</v>
      </c>
      <c r="L10" s="869"/>
      <c r="M10" s="442">
        <v>396.88</v>
      </c>
      <c r="N10" s="852"/>
      <c r="O10" s="469">
        <f t="shared" si="0"/>
        <v>396.88</v>
      </c>
      <c r="P10" s="445">
        <f t="shared" si="1"/>
        <v>0.4961</v>
      </c>
    </row>
    <row r="11" spans="1:16" ht="15" customHeight="1">
      <c r="A11" s="1374"/>
      <c r="B11" s="498" t="s">
        <v>187</v>
      </c>
      <c r="C11" s="499" t="s">
        <v>157</v>
      </c>
      <c r="D11" s="500">
        <v>902.5</v>
      </c>
      <c r="E11" s="501"/>
      <c r="F11" s="502"/>
      <c r="G11" s="503">
        <f>SUM(D11:F11)</f>
        <v>902.5</v>
      </c>
      <c r="H11" s="457">
        <v>902.5</v>
      </c>
      <c r="I11" s="457"/>
      <c r="J11" s="454"/>
      <c r="K11" s="455">
        <f>SUM(H11:J11)</f>
        <v>902.5</v>
      </c>
      <c r="L11" s="871"/>
      <c r="M11" s="870"/>
      <c r="N11" s="513"/>
      <c r="O11" s="503"/>
      <c r="P11" s="459"/>
    </row>
    <row r="12" spans="1:16" ht="28.5" customHeight="1">
      <c r="A12" s="1374"/>
      <c r="B12" s="498" t="s">
        <v>117</v>
      </c>
      <c r="C12" s="504" t="s">
        <v>158</v>
      </c>
      <c r="D12" s="505">
        <v>114174</v>
      </c>
      <c r="E12" s="506">
        <v>116561.7</v>
      </c>
      <c r="F12" s="507">
        <v>650</v>
      </c>
      <c r="G12" s="503">
        <f>SUM(D12:F12)</f>
        <v>231385.7</v>
      </c>
      <c r="H12" s="457">
        <f>121480.1-J12</f>
        <v>120830.1</v>
      </c>
      <c r="I12" s="457">
        <f>159530.8-I13</f>
        <v>144530.8</v>
      </c>
      <c r="J12" s="467">
        <v>650</v>
      </c>
      <c r="K12" s="469">
        <f>SUM(H12:J12)</f>
        <v>266010.9</v>
      </c>
      <c r="L12" s="873">
        <f>109231.4</f>
        <v>109231.4</v>
      </c>
      <c r="M12" s="837">
        <f>45416.89624-M13</f>
        <v>44491.693940000005</v>
      </c>
      <c r="N12" s="832">
        <v>650</v>
      </c>
      <c r="O12" s="520">
        <f t="shared" si="0"/>
        <v>154373.09394</v>
      </c>
      <c r="P12" s="459">
        <f t="shared" si="1"/>
        <v>0.5803261969340353</v>
      </c>
    </row>
    <row r="13" spans="1:16" ht="15" customHeight="1">
      <c r="A13" s="1374"/>
      <c r="B13" s="498" t="s">
        <v>117</v>
      </c>
      <c r="C13" s="499" t="s">
        <v>211</v>
      </c>
      <c r="D13" s="508"/>
      <c r="E13" s="509">
        <v>15000</v>
      </c>
      <c r="F13" s="510"/>
      <c r="G13" s="511">
        <f>SUM(E13)</f>
        <v>15000</v>
      </c>
      <c r="H13" s="512"/>
      <c r="I13" s="457">
        <v>15000</v>
      </c>
      <c r="J13" s="454"/>
      <c r="K13" s="455">
        <f>SUM(H13:J13)</f>
        <v>15000</v>
      </c>
      <c r="L13" s="872">
        <v>67.1</v>
      </c>
      <c r="M13" s="867">
        <v>925.2023</v>
      </c>
      <c r="N13" s="832"/>
      <c r="O13" s="455">
        <f t="shared" si="0"/>
        <v>992.3023000000001</v>
      </c>
      <c r="P13" s="459">
        <f>O13/K13</f>
        <v>0.06615348666666666</v>
      </c>
    </row>
    <row r="14" spans="1:16" ht="15" customHeight="1">
      <c r="A14" s="1374"/>
      <c r="B14" s="514" t="s">
        <v>519</v>
      </c>
      <c r="C14" s="515" t="s">
        <v>218</v>
      </c>
      <c r="D14" s="516"/>
      <c r="E14" s="517"/>
      <c r="F14" s="518"/>
      <c r="G14" s="511"/>
      <c r="H14" s="512">
        <v>48</v>
      </c>
      <c r="I14" s="519"/>
      <c r="J14" s="513"/>
      <c r="K14" s="520">
        <f>SUM(H14:J14)</f>
        <v>48</v>
      </c>
      <c r="L14" s="521">
        <v>47.9765</v>
      </c>
      <c r="M14" s="519"/>
      <c r="N14" s="513"/>
      <c r="O14" s="455">
        <f t="shared" si="0"/>
        <v>47.9765</v>
      </c>
      <c r="P14" s="670">
        <f>O14/K14</f>
        <v>0.9995104166666667</v>
      </c>
    </row>
    <row r="15" spans="1:16" ht="30.75" customHeight="1">
      <c r="A15" s="1375"/>
      <c r="B15" s="1376" t="s">
        <v>116</v>
      </c>
      <c r="C15" s="1377"/>
      <c r="D15" s="523">
        <f>SUM(D10:D13)</f>
        <v>115076.5</v>
      </c>
      <c r="E15" s="524">
        <f>SUM(E10:E13)</f>
        <v>145561.7</v>
      </c>
      <c r="F15" s="525">
        <f>SUM(F10:F13)</f>
        <v>650</v>
      </c>
      <c r="G15" s="526">
        <f>SUM(G10:G13)</f>
        <v>261288.2</v>
      </c>
      <c r="H15" s="491">
        <f aca="true" t="shared" si="3" ref="H15:N15">SUM(H10:H14)</f>
        <v>121780.6</v>
      </c>
      <c r="I15" s="491">
        <f t="shared" si="3"/>
        <v>160330.8</v>
      </c>
      <c r="J15" s="527">
        <f t="shared" si="3"/>
        <v>650</v>
      </c>
      <c r="K15" s="485">
        <f t="shared" si="3"/>
        <v>282761.4</v>
      </c>
      <c r="L15" s="491">
        <f>SUM(L10:L14)</f>
        <v>109346.4765</v>
      </c>
      <c r="M15" s="491">
        <f t="shared" si="3"/>
        <v>45813.77624</v>
      </c>
      <c r="N15" s="491">
        <f t="shared" si="3"/>
        <v>650</v>
      </c>
      <c r="O15" s="485">
        <f t="shared" si="0"/>
        <v>155810.25274</v>
      </c>
      <c r="P15" s="568">
        <f t="shared" si="1"/>
        <v>0.5510308434602459</v>
      </c>
    </row>
    <row r="16" spans="1:16" ht="15" customHeight="1">
      <c r="A16" s="1378" t="s">
        <v>520</v>
      </c>
      <c r="B16" s="492" t="s">
        <v>159</v>
      </c>
      <c r="C16" s="528" t="s">
        <v>155</v>
      </c>
      <c r="D16" s="529"/>
      <c r="E16" s="530">
        <v>7750</v>
      </c>
      <c r="F16" s="531"/>
      <c r="G16" s="436">
        <f>SUM(E16)</f>
        <v>7750</v>
      </c>
      <c r="H16" s="834">
        <v>18.3</v>
      </c>
      <c r="I16" s="442">
        <f>1248.3-H16</f>
        <v>1230</v>
      </c>
      <c r="J16" s="443"/>
      <c r="K16" s="532">
        <f>SUM(H16:J16)</f>
        <v>1248.3</v>
      </c>
      <c r="L16" s="442">
        <v>16.2624</v>
      </c>
      <c r="M16" s="442">
        <f>902.0944-L16</f>
        <v>885.832</v>
      </c>
      <c r="N16" s="443"/>
      <c r="O16" s="532">
        <f t="shared" si="0"/>
        <v>902.0944</v>
      </c>
      <c r="P16" s="459">
        <f t="shared" si="1"/>
        <v>0.7226583353360571</v>
      </c>
    </row>
    <row r="17" spans="1:16" ht="15" customHeight="1">
      <c r="A17" s="1373"/>
      <c r="B17" s="498" t="s">
        <v>160</v>
      </c>
      <c r="C17" s="499" t="s">
        <v>157</v>
      </c>
      <c r="D17" s="534">
        <v>6928</v>
      </c>
      <c r="E17" s="501"/>
      <c r="F17" s="502"/>
      <c r="G17" s="464">
        <f>SUM(D17:F17)</f>
        <v>6928</v>
      </c>
      <c r="H17" s="867">
        <f>5296.2-I17</f>
        <v>3676.7</v>
      </c>
      <c r="I17" s="827">
        <v>1619.5</v>
      </c>
      <c r="J17" s="831"/>
      <c r="K17" s="457">
        <f>SUM(H17:J17)</f>
        <v>5296.2</v>
      </c>
      <c r="L17" s="827">
        <f>3918.224-M17</f>
        <v>2298.808</v>
      </c>
      <c r="M17" s="829">
        <v>1619.416</v>
      </c>
      <c r="N17" s="832"/>
      <c r="O17" s="535">
        <f t="shared" si="0"/>
        <v>3918.224</v>
      </c>
      <c r="P17" s="459">
        <f>O17/K17</f>
        <v>0.7398179827045807</v>
      </c>
    </row>
    <row r="18" spans="1:16" ht="15" customHeight="1">
      <c r="A18" s="1373"/>
      <c r="B18" s="536" t="s">
        <v>521</v>
      </c>
      <c r="C18" s="515" t="s">
        <v>199</v>
      </c>
      <c r="D18" s="534"/>
      <c r="E18" s="537"/>
      <c r="F18" s="538"/>
      <c r="G18" s="503"/>
      <c r="H18" s="621">
        <v>292.4</v>
      </c>
      <c r="I18" s="829"/>
      <c r="J18" s="831"/>
      <c r="K18" s="457">
        <f>SUM(H18:J18)</f>
        <v>292.4</v>
      </c>
      <c r="L18" s="827">
        <v>153.7184</v>
      </c>
      <c r="M18" s="470"/>
      <c r="N18" s="832"/>
      <c r="O18" s="535">
        <f t="shared" si="0"/>
        <v>153.7184</v>
      </c>
      <c r="P18" s="459">
        <f>O18/K18</f>
        <v>0.5257127222982216</v>
      </c>
    </row>
    <row r="19" spans="1:16" ht="27.75" customHeight="1">
      <c r="A19" s="1379"/>
      <c r="B19" s="536" t="s">
        <v>118</v>
      </c>
      <c r="C19" s="539" t="s">
        <v>158</v>
      </c>
      <c r="D19" s="540">
        <v>5650</v>
      </c>
      <c r="E19" s="541"/>
      <c r="F19" s="542"/>
      <c r="G19" s="543">
        <f>SUM(D19:E19)</f>
        <v>5650</v>
      </c>
      <c r="H19" s="825">
        <f>6085.4-I19</f>
        <v>4456.5</v>
      </c>
      <c r="I19" s="828">
        <v>1628.9</v>
      </c>
      <c r="J19" s="857"/>
      <c r="K19" s="464">
        <f>SUM(H19:J19)</f>
        <v>6085.4</v>
      </c>
      <c r="L19" s="825">
        <f>776.9347</f>
        <v>776.9347</v>
      </c>
      <c r="M19" s="828"/>
      <c r="N19" s="857"/>
      <c r="O19" s="464">
        <f t="shared" si="0"/>
        <v>776.9347</v>
      </c>
      <c r="P19" s="459">
        <f t="shared" si="1"/>
        <v>0.12767191967660302</v>
      </c>
    </row>
    <row r="20" spans="1:16" ht="30.75" customHeight="1">
      <c r="A20" s="1380"/>
      <c r="B20" s="1376" t="s">
        <v>116</v>
      </c>
      <c r="C20" s="1377"/>
      <c r="D20" s="523">
        <f>SUM(D16:D19)</f>
        <v>12578</v>
      </c>
      <c r="E20" s="524">
        <f>SUM(E16:E19)</f>
        <v>7750</v>
      </c>
      <c r="F20" s="525"/>
      <c r="G20" s="544">
        <f>SUM(G16:G19)</f>
        <v>20328</v>
      </c>
      <c r="H20" s="491">
        <f aca="true" t="shared" si="4" ref="H20:O20">SUM(H16:H19)</f>
        <v>8443.9</v>
      </c>
      <c r="I20" s="545">
        <f t="shared" si="4"/>
        <v>4478.4</v>
      </c>
      <c r="J20" s="484"/>
      <c r="K20" s="546">
        <f t="shared" si="4"/>
        <v>12922.3</v>
      </c>
      <c r="L20" s="491">
        <f t="shared" si="4"/>
        <v>3245.7235</v>
      </c>
      <c r="M20" s="545">
        <f t="shared" si="4"/>
        <v>2505.248</v>
      </c>
      <c r="N20" s="527"/>
      <c r="O20" s="546">
        <f t="shared" si="4"/>
        <v>5750.9715</v>
      </c>
      <c r="P20" s="568">
        <f t="shared" si="1"/>
        <v>0.44504240731139194</v>
      </c>
    </row>
    <row r="21" spans="1:16" ht="15" customHeight="1">
      <c r="A21" s="1404" t="s">
        <v>522</v>
      </c>
      <c r="B21" s="536" t="s">
        <v>215</v>
      </c>
      <c r="C21" s="547" t="s">
        <v>126</v>
      </c>
      <c r="D21" s="529"/>
      <c r="E21" s="530"/>
      <c r="F21" s="531"/>
      <c r="G21" s="436"/>
      <c r="H21" s="470">
        <v>7917</v>
      </c>
      <c r="I21" s="519"/>
      <c r="J21" s="513"/>
      <c r="K21" s="551">
        <f aca="true" t="shared" si="5" ref="K21:K29">SUM(H21:J21)</f>
        <v>7917</v>
      </c>
      <c r="L21" s="548"/>
      <c r="M21" s="549"/>
      <c r="N21" s="550"/>
      <c r="O21" s="552">
        <f aca="true" t="shared" si="6" ref="O21:O29">SUM(L21:N21)</f>
        <v>0</v>
      </c>
      <c r="P21" s="459">
        <f t="shared" si="1"/>
        <v>0</v>
      </c>
    </row>
    <row r="22" spans="1:16" ht="15" customHeight="1">
      <c r="A22" s="1405"/>
      <c r="B22" s="536" t="s">
        <v>216</v>
      </c>
      <c r="C22" s="547" t="s">
        <v>169</v>
      </c>
      <c r="D22" s="534"/>
      <c r="E22" s="501"/>
      <c r="F22" s="502"/>
      <c r="G22" s="503"/>
      <c r="H22" s="877"/>
      <c r="I22" s="878">
        <f>9057.4-H21</f>
        <v>1140.3999999999996</v>
      </c>
      <c r="J22" s="879"/>
      <c r="K22" s="552">
        <f t="shared" si="5"/>
        <v>1140.3999999999996</v>
      </c>
      <c r="L22" s="553"/>
      <c r="M22" s="554">
        <v>1140.31456</v>
      </c>
      <c r="N22" s="555"/>
      <c r="O22" s="552">
        <f t="shared" si="6"/>
        <v>1140.31456</v>
      </c>
      <c r="P22" s="459">
        <f t="shared" si="1"/>
        <v>0.9999250789196776</v>
      </c>
    </row>
    <row r="23" spans="1:16" ht="15" customHeight="1">
      <c r="A23" s="1405"/>
      <c r="B23" s="536" t="s">
        <v>161</v>
      </c>
      <c r="C23" s="547" t="s">
        <v>155</v>
      </c>
      <c r="D23" s="534"/>
      <c r="E23" s="537">
        <v>122857.2</v>
      </c>
      <c r="F23" s="538"/>
      <c r="G23" s="556">
        <f>SUM(E23:F23)</f>
        <v>122857.2</v>
      </c>
      <c r="H23" s="553">
        <f>23.5+804.1</f>
        <v>827.6</v>
      </c>
      <c r="I23" s="554">
        <f>178624.2-H23</f>
        <v>177796.6</v>
      </c>
      <c r="J23" s="555"/>
      <c r="K23" s="552">
        <f t="shared" si="5"/>
        <v>178624.2</v>
      </c>
      <c r="L23" s="553">
        <f>23.456+20+767.44855</f>
        <v>810.90455</v>
      </c>
      <c r="M23" s="554">
        <f>132655.11998-L23</f>
        <v>131844.21542999998</v>
      </c>
      <c r="N23" s="555"/>
      <c r="O23" s="552">
        <f t="shared" si="6"/>
        <v>132655.11998</v>
      </c>
      <c r="P23" s="459">
        <f t="shared" si="1"/>
        <v>0.7426492041951761</v>
      </c>
    </row>
    <row r="24" spans="1:16" ht="15" customHeight="1">
      <c r="A24" s="1405"/>
      <c r="B24" s="536" t="s">
        <v>212</v>
      </c>
      <c r="C24" s="515" t="s">
        <v>199</v>
      </c>
      <c r="D24" s="534"/>
      <c r="E24" s="537"/>
      <c r="F24" s="538"/>
      <c r="G24" s="880"/>
      <c r="H24" s="553">
        <v>61.6</v>
      </c>
      <c r="I24" s="554"/>
      <c r="J24" s="555"/>
      <c r="K24" s="552">
        <f t="shared" si="5"/>
        <v>61.6</v>
      </c>
      <c r="L24" s="553">
        <v>43.325</v>
      </c>
      <c r="M24" s="554"/>
      <c r="N24" s="555"/>
      <c r="O24" s="552">
        <f t="shared" si="6"/>
        <v>43.325</v>
      </c>
      <c r="P24" s="459"/>
    </row>
    <row r="25" spans="1:16" ht="15" customHeight="1">
      <c r="A25" s="1405"/>
      <c r="B25" s="558" t="s">
        <v>193</v>
      </c>
      <c r="C25" s="559" t="s">
        <v>523</v>
      </c>
      <c r="D25" s="534"/>
      <c r="E25" s="501"/>
      <c r="F25" s="502"/>
      <c r="G25" s="880"/>
      <c r="H25" s="553">
        <v>1567.6</v>
      </c>
      <c r="I25" s="554"/>
      <c r="J25" s="555"/>
      <c r="K25" s="552">
        <f t="shared" si="5"/>
        <v>1567.6</v>
      </c>
      <c r="L25" s="553">
        <v>922.86951</v>
      </c>
      <c r="M25" s="554"/>
      <c r="N25" s="555"/>
      <c r="O25" s="552">
        <f t="shared" si="6"/>
        <v>922.86951</v>
      </c>
      <c r="P25" s="459">
        <f>O25/K25</f>
        <v>0.5887149208981883</v>
      </c>
    </row>
    <row r="26" spans="1:16" ht="15" customHeight="1">
      <c r="A26" s="1405"/>
      <c r="B26" s="558" t="s">
        <v>217</v>
      </c>
      <c r="C26" s="560" t="s">
        <v>524</v>
      </c>
      <c r="D26" s="534">
        <v>3458</v>
      </c>
      <c r="E26" s="537">
        <v>965</v>
      </c>
      <c r="F26" s="538">
        <v>3000</v>
      </c>
      <c r="G26" s="538">
        <f>SUM(D26:F26)</f>
        <v>7423</v>
      </c>
      <c r="H26" s="553">
        <f>14813-I26-J26</f>
        <v>3648</v>
      </c>
      <c r="I26" s="554">
        <f>965+7200</f>
        <v>8165</v>
      </c>
      <c r="J26" s="555">
        <v>3000</v>
      </c>
      <c r="K26" s="552">
        <f t="shared" si="5"/>
        <v>14813</v>
      </c>
      <c r="L26" s="553">
        <f>12542.80631-M26-N26</f>
        <v>3378.4968099999996</v>
      </c>
      <c r="M26" s="554">
        <f>5200+964.3095</f>
        <v>6164.3095</v>
      </c>
      <c r="N26" s="555">
        <v>3000</v>
      </c>
      <c r="O26" s="552">
        <f t="shared" si="6"/>
        <v>12542.80631</v>
      </c>
      <c r="P26" s="459">
        <f t="shared" si="1"/>
        <v>0.8467431519611153</v>
      </c>
    </row>
    <row r="27" spans="1:16" ht="27.75" customHeight="1">
      <c r="A27" s="1405"/>
      <c r="B27" s="558" t="s">
        <v>194</v>
      </c>
      <c r="C27" s="822" t="s">
        <v>723</v>
      </c>
      <c r="D27" s="534"/>
      <c r="E27" s="501"/>
      <c r="F27" s="502"/>
      <c r="G27" s="503"/>
      <c r="H27" s="553">
        <v>823.6</v>
      </c>
      <c r="I27" s="554"/>
      <c r="J27" s="555">
        <v>5</v>
      </c>
      <c r="K27" s="552">
        <f t="shared" si="5"/>
        <v>828.6</v>
      </c>
      <c r="L27" s="553">
        <v>798.466</v>
      </c>
      <c r="M27" s="554"/>
      <c r="N27" s="555"/>
      <c r="O27" s="552">
        <f t="shared" si="6"/>
        <v>798.466</v>
      </c>
      <c r="P27" s="459">
        <f t="shared" si="1"/>
        <v>0.9636326333574704</v>
      </c>
    </row>
    <row r="28" spans="1:16" ht="15" customHeight="1">
      <c r="A28" s="1405"/>
      <c r="B28" s="561" t="s">
        <v>119</v>
      </c>
      <c r="C28" s="547" t="s">
        <v>525</v>
      </c>
      <c r="D28" s="534">
        <v>126900</v>
      </c>
      <c r="E28" s="537">
        <v>2800</v>
      </c>
      <c r="F28" s="538">
        <v>1200</v>
      </c>
      <c r="G28" s="556">
        <f>SUM(D28:F28)</f>
        <v>130900</v>
      </c>
      <c r="H28" s="562">
        <f>176251.9-J28</f>
        <v>175051.9</v>
      </c>
      <c r="I28" s="563">
        <v>13560.1</v>
      </c>
      <c r="J28" s="555">
        <v>1200</v>
      </c>
      <c r="K28" s="552">
        <f t="shared" si="5"/>
        <v>189812</v>
      </c>
      <c r="L28" s="562">
        <f>174041.04426-N28</f>
        <v>172864.24826</v>
      </c>
      <c r="M28" s="563">
        <v>12333.9872</v>
      </c>
      <c r="N28" s="555">
        <v>1176.796</v>
      </c>
      <c r="O28" s="552">
        <f t="shared" si="6"/>
        <v>186375.03146</v>
      </c>
      <c r="P28" s="459">
        <f t="shared" si="1"/>
        <v>0.9818927752723747</v>
      </c>
    </row>
    <row r="29" spans="1:16" ht="27.75" customHeight="1">
      <c r="A29" s="1405"/>
      <c r="B29" s="536" t="s">
        <v>120</v>
      </c>
      <c r="C29" s="539" t="s">
        <v>158</v>
      </c>
      <c r="D29" s="534">
        <v>0</v>
      </c>
      <c r="E29" s="501">
        <v>29659.9</v>
      </c>
      <c r="F29" s="502"/>
      <c r="G29" s="557">
        <f>SUM(E29:F29)</f>
        <v>29659.9</v>
      </c>
      <c r="H29" s="548">
        <v>7</v>
      </c>
      <c r="I29" s="565">
        <f>31013.6-H29</f>
        <v>31006.6</v>
      </c>
      <c r="J29" s="555"/>
      <c r="K29" s="566">
        <f t="shared" si="5"/>
        <v>31013.6</v>
      </c>
      <c r="L29" s="548">
        <v>3.5</v>
      </c>
      <c r="M29" s="565">
        <f>20217.56683-L29</f>
        <v>20214.06683</v>
      </c>
      <c r="N29" s="555"/>
      <c r="O29" s="566">
        <f t="shared" si="6"/>
        <v>20217.56683</v>
      </c>
      <c r="P29" s="459">
        <f t="shared" si="1"/>
        <v>0.6518935831377203</v>
      </c>
    </row>
    <row r="30" spans="1:16" ht="30.75" customHeight="1">
      <c r="A30" s="1406"/>
      <c r="B30" s="1376" t="s">
        <v>116</v>
      </c>
      <c r="C30" s="1377"/>
      <c r="D30" s="482">
        <f>SUM(D23:D29)</f>
        <v>130358</v>
      </c>
      <c r="E30" s="567">
        <f>SUM(E23:E29)</f>
        <v>156282.1</v>
      </c>
      <c r="F30" s="546">
        <f>SUM(F23:F29)</f>
        <v>4200</v>
      </c>
      <c r="G30" s="544">
        <f>SUM(G23:G29)</f>
        <v>290840.10000000003</v>
      </c>
      <c r="H30" s="491">
        <f>SUM(H21:H29)</f>
        <v>189904.3</v>
      </c>
      <c r="I30" s="545">
        <f aca="true" t="shared" si="7" ref="I30:O30">SUM(I21:I29)</f>
        <v>231668.7</v>
      </c>
      <c r="J30" s="484">
        <f t="shared" si="7"/>
        <v>4205</v>
      </c>
      <c r="K30" s="546">
        <f>SUM(K21:K29)</f>
        <v>425778</v>
      </c>
      <c r="L30" s="491">
        <f>SUM(L21:L29)</f>
        <v>178821.81013</v>
      </c>
      <c r="M30" s="545">
        <f t="shared" si="7"/>
        <v>171696.89351999998</v>
      </c>
      <c r="N30" s="484">
        <f t="shared" si="7"/>
        <v>4176.796</v>
      </c>
      <c r="O30" s="546">
        <f t="shared" si="7"/>
        <v>354695.49965</v>
      </c>
      <c r="P30" s="568">
        <f t="shared" si="1"/>
        <v>0.833052669818544</v>
      </c>
    </row>
    <row r="31" spans="1:16" ht="15" customHeight="1">
      <c r="A31" s="1378" t="s">
        <v>526</v>
      </c>
      <c r="B31" s="569" t="s">
        <v>219</v>
      </c>
      <c r="C31" s="547" t="s">
        <v>169</v>
      </c>
      <c r="D31" s="534"/>
      <c r="E31" s="830"/>
      <c r="F31" s="538"/>
      <c r="G31" s="538"/>
      <c r="H31" s="834">
        <v>5.7</v>
      </c>
      <c r="I31" s="830">
        <v>1116.5</v>
      </c>
      <c r="J31" s="550"/>
      <c r="K31" s="497">
        <f aca="true" t="shared" si="8" ref="K31:K36">SUM(H31:J31)</f>
        <v>1122.2</v>
      </c>
      <c r="L31" s="571">
        <v>5.61679</v>
      </c>
      <c r="M31" s="570">
        <f>1045.18345-L31</f>
        <v>1039.56666</v>
      </c>
      <c r="N31" s="550"/>
      <c r="O31" s="572">
        <f aca="true" t="shared" si="9" ref="O31:O36">SUM(L31:N31)</f>
        <v>1045.18345</v>
      </c>
      <c r="P31" s="445">
        <f t="shared" si="1"/>
        <v>0.9313700320798431</v>
      </c>
    </row>
    <row r="32" spans="1:16" ht="15" customHeight="1">
      <c r="A32" s="1373"/>
      <c r="B32" s="574" t="s">
        <v>162</v>
      </c>
      <c r="C32" s="560" t="s">
        <v>155</v>
      </c>
      <c r="D32" s="824"/>
      <c r="E32" s="829">
        <v>41890</v>
      </c>
      <c r="F32" s="831"/>
      <c r="G32" s="503">
        <f>SUM(E32:F32)</f>
        <v>41890</v>
      </c>
      <c r="H32" s="576">
        <v>1125.4</v>
      </c>
      <c r="I32" s="829">
        <v>40771</v>
      </c>
      <c r="J32" s="555"/>
      <c r="K32" s="577">
        <f t="shared" si="8"/>
        <v>41896.4</v>
      </c>
      <c r="L32" s="576">
        <f>443.4892+75.01395+595.562</f>
        <v>1114.06515</v>
      </c>
      <c r="M32" s="575">
        <f>38650.17861-L32</f>
        <v>37536.11346</v>
      </c>
      <c r="N32" s="578"/>
      <c r="O32" s="579">
        <f t="shared" si="9"/>
        <v>38650.17861</v>
      </c>
      <c r="P32" s="459">
        <f>O32/K32</f>
        <v>0.92251789199072</v>
      </c>
    </row>
    <row r="33" spans="1:16" ht="15" customHeight="1">
      <c r="A33" s="1373"/>
      <c r="B33" s="574" t="s">
        <v>527</v>
      </c>
      <c r="C33" s="580" t="s">
        <v>199</v>
      </c>
      <c r="D33" s="824"/>
      <c r="E33" s="829"/>
      <c r="F33" s="831"/>
      <c r="G33" s="538"/>
      <c r="H33" s="576">
        <v>229.9</v>
      </c>
      <c r="I33" s="833"/>
      <c r="J33" s="555"/>
      <c r="K33" s="577">
        <f>SUM(H33:J33)</f>
        <v>229.9</v>
      </c>
      <c r="L33" s="576"/>
      <c r="M33" s="575"/>
      <c r="N33" s="578"/>
      <c r="O33" s="579">
        <v>0</v>
      </c>
      <c r="P33" s="459">
        <v>0</v>
      </c>
    </row>
    <row r="34" spans="1:16" ht="15" customHeight="1">
      <c r="A34" s="1373"/>
      <c r="B34" s="574" t="s">
        <v>220</v>
      </c>
      <c r="C34" s="559" t="s">
        <v>523</v>
      </c>
      <c r="D34" s="824"/>
      <c r="E34" s="829"/>
      <c r="F34" s="464"/>
      <c r="G34" s="538"/>
      <c r="H34" s="576">
        <v>1208</v>
      </c>
      <c r="I34" s="833"/>
      <c r="J34" s="555"/>
      <c r="K34" s="577">
        <f t="shared" si="8"/>
        <v>1208</v>
      </c>
      <c r="L34" s="576">
        <v>544.843</v>
      </c>
      <c r="M34" s="575"/>
      <c r="N34" s="578"/>
      <c r="O34" s="577">
        <f t="shared" si="9"/>
        <v>544.843</v>
      </c>
      <c r="P34" s="459">
        <f>O34/K34</f>
        <v>0.45102897350993376</v>
      </c>
    </row>
    <row r="35" spans="1:16" ht="15" customHeight="1">
      <c r="A35" s="1373"/>
      <c r="B35" s="574" t="s">
        <v>528</v>
      </c>
      <c r="C35" s="560" t="s">
        <v>524</v>
      </c>
      <c r="D35" s="824"/>
      <c r="E35" s="827"/>
      <c r="F35" s="831"/>
      <c r="G35" s="538"/>
      <c r="H35" s="835">
        <v>186</v>
      </c>
      <c r="I35" s="519"/>
      <c r="J35" s="555"/>
      <c r="K35" s="577">
        <f>SUM(H35:J35)</f>
        <v>186</v>
      </c>
      <c r="L35" s="576">
        <v>186</v>
      </c>
      <c r="M35" s="575"/>
      <c r="N35" s="578"/>
      <c r="O35" s="577">
        <f t="shared" si="9"/>
        <v>186</v>
      </c>
      <c r="P35" s="459">
        <f>O35/K35</f>
        <v>1</v>
      </c>
    </row>
    <row r="36" spans="1:16" ht="27.75" customHeight="1">
      <c r="A36" s="1373"/>
      <c r="B36" s="574" t="s">
        <v>121</v>
      </c>
      <c r="C36" s="823" t="s">
        <v>723</v>
      </c>
      <c r="D36" s="825">
        <v>34309</v>
      </c>
      <c r="E36" s="828"/>
      <c r="F36" s="581">
        <v>1500</v>
      </c>
      <c r="G36" s="543">
        <f>SUM(D36:F36)</f>
        <v>35809</v>
      </c>
      <c r="H36" s="836">
        <f>46072.5-I36-J36</f>
        <v>44144.5</v>
      </c>
      <c r="I36" s="828">
        <v>500</v>
      </c>
      <c r="J36" s="555">
        <v>1428</v>
      </c>
      <c r="K36" s="497">
        <f t="shared" si="8"/>
        <v>46072.5</v>
      </c>
      <c r="L36" s="582">
        <f>36740.52816-M36-N36</f>
        <v>35255.83716</v>
      </c>
      <c r="M36" s="575">
        <v>100</v>
      </c>
      <c r="N36" s="555">
        <v>1384.691</v>
      </c>
      <c r="O36" s="572">
        <f t="shared" si="9"/>
        <v>36740.52816</v>
      </c>
      <c r="P36" s="459">
        <f t="shared" si="1"/>
        <v>0.7974502829236529</v>
      </c>
    </row>
    <row r="37" spans="1:16" ht="30.75" customHeight="1">
      <c r="A37" s="1399"/>
      <c r="B37" s="1403" t="s">
        <v>116</v>
      </c>
      <c r="C37" s="1377"/>
      <c r="D37" s="482">
        <f>SUM(D32:D36)</f>
        <v>34309</v>
      </c>
      <c r="E37" s="583">
        <f>SUM(E32:E36)</f>
        <v>41890</v>
      </c>
      <c r="F37" s="525">
        <f>SUM(F36:F36)</f>
        <v>1500</v>
      </c>
      <c r="G37" s="544">
        <f>G32+G36</f>
        <v>77699</v>
      </c>
      <c r="H37" s="490">
        <f aca="true" t="shared" si="10" ref="H37:O37">SUM(H31:H36)</f>
        <v>46899.5</v>
      </c>
      <c r="I37" s="545">
        <f t="shared" si="10"/>
        <v>42387.5</v>
      </c>
      <c r="J37" s="484">
        <f t="shared" si="10"/>
        <v>1428</v>
      </c>
      <c r="K37" s="485">
        <f t="shared" si="10"/>
        <v>90715</v>
      </c>
      <c r="L37" s="482">
        <f t="shared" si="10"/>
        <v>37106.362100000006</v>
      </c>
      <c r="M37" s="491">
        <f t="shared" si="10"/>
        <v>38675.68012</v>
      </c>
      <c r="N37" s="526">
        <f t="shared" si="10"/>
        <v>1384.691</v>
      </c>
      <c r="O37" s="491">
        <f t="shared" si="10"/>
        <v>77166.73322</v>
      </c>
      <c r="P37" s="568">
        <f t="shared" si="1"/>
        <v>0.850650203604696</v>
      </c>
    </row>
    <row r="38" spans="1:16" ht="15" customHeight="1">
      <c r="A38" s="1373" t="s">
        <v>529</v>
      </c>
      <c r="B38" s="584" t="s">
        <v>55</v>
      </c>
      <c r="C38" s="585" t="s">
        <v>195</v>
      </c>
      <c r="D38" s="849">
        <v>630</v>
      </c>
      <c r="E38" s="847"/>
      <c r="F38" s="846"/>
      <c r="G38" s="511">
        <f aca="true" t="shared" si="11" ref="G38:G44">SUM(D38:F38)</f>
        <v>630</v>
      </c>
      <c r="H38" s="834">
        <v>630</v>
      </c>
      <c r="I38" s="830"/>
      <c r="J38" s="555"/>
      <c r="K38" s="859">
        <f>SUM(H38:J38)</f>
        <v>630</v>
      </c>
      <c r="L38" s="607">
        <v>607.786</v>
      </c>
      <c r="M38" s="830"/>
      <c r="N38" s="852"/>
      <c r="O38" s="535">
        <f aca="true" t="shared" si="12" ref="O38:O45">SUM(L38:N38)</f>
        <v>607.786</v>
      </c>
      <c r="P38" s="459">
        <f t="shared" si="1"/>
        <v>0.9647396825396825</v>
      </c>
    </row>
    <row r="39" spans="1:16" ht="15" customHeight="1">
      <c r="A39" s="1373"/>
      <c r="B39" s="584" t="s">
        <v>221</v>
      </c>
      <c r="C39" s="493" t="s">
        <v>126</v>
      </c>
      <c r="D39" s="850"/>
      <c r="E39" s="848"/>
      <c r="F39" s="845"/>
      <c r="G39" s="511"/>
      <c r="H39" s="839">
        <v>1000</v>
      </c>
      <c r="I39" s="827"/>
      <c r="J39" s="555"/>
      <c r="K39" s="503">
        <f>SUM(H39:J39)</f>
        <v>1000</v>
      </c>
      <c r="L39" s="839"/>
      <c r="M39" s="829"/>
      <c r="N39" s="831"/>
      <c r="O39" s="535">
        <f t="shared" si="12"/>
        <v>0</v>
      </c>
      <c r="P39" s="459">
        <f t="shared" si="1"/>
        <v>0</v>
      </c>
    </row>
    <row r="40" spans="1:16" ht="15" customHeight="1">
      <c r="A40" s="1373"/>
      <c r="B40" s="498" t="s">
        <v>164</v>
      </c>
      <c r="C40" s="559" t="s">
        <v>155</v>
      </c>
      <c r="D40" s="851"/>
      <c r="E40" s="588">
        <v>3000</v>
      </c>
      <c r="F40" s="589"/>
      <c r="G40" s="590">
        <f t="shared" si="11"/>
        <v>3000</v>
      </c>
      <c r="H40" s="839"/>
      <c r="I40" s="826">
        <v>250</v>
      </c>
      <c r="J40" s="555"/>
      <c r="K40" s="503">
        <f aca="true" t="shared" si="13" ref="K40:K45">SUM(H40:J40)</f>
        <v>250</v>
      </c>
      <c r="L40" s="839"/>
      <c r="M40" s="829">
        <v>179.08</v>
      </c>
      <c r="N40" s="831"/>
      <c r="O40" s="535">
        <f t="shared" si="12"/>
        <v>179.08</v>
      </c>
      <c r="P40" s="459">
        <f>O40/K40</f>
        <v>0.7163200000000001</v>
      </c>
    </row>
    <row r="41" spans="1:16" ht="15" customHeight="1">
      <c r="A41" s="1373"/>
      <c r="B41" s="498" t="s">
        <v>196</v>
      </c>
      <c r="C41" s="499" t="s">
        <v>157</v>
      </c>
      <c r="D41" s="591">
        <v>70</v>
      </c>
      <c r="E41" s="844"/>
      <c r="F41" s="450"/>
      <c r="G41" s="503">
        <f t="shared" si="11"/>
        <v>70</v>
      </c>
      <c r="H41" s="838">
        <v>70</v>
      </c>
      <c r="I41" s="599"/>
      <c r="J41" s="555"/>
      <c r="K41" s="503">
        <f t="shared" si="13"/>
        <v>70</v>
      </c>
      <c r="L41" s="853">
        <v>10</v>
      </c>
      <c r="M41" s="829"/>
      <c r="N41" s="831"/>
      <c r="O41" s="535">
        <f t="shared" si="12"/>
        <v>10</v>
      </c>
      <c r="P41" s="459">
        <f>O41/K41</f>
        <v>0.14285714285714285</v>
      </c>
    </row>
    <row r="42" spans="1:16" ht="15" customHeight="1">
      <c r="A42" s="1373"/>
      <c r="B42" s="498" t="s">
        <v>530</v>
      </c>
      <c r="C42" s="594" t="s">
        <v>724</v>
      </c>
      <c r="D42" s="851"/>
      <c r="E42" s="842"/>
      <c r="F42" s="843"/>
      <c r="G42" s="511"/>
      <c r="H42" s="593">
        <v>6200</v>
      </c>
      <c r="I42" s="827"/>
      <c r="J42" s="555"/>
      <c r="K42" s="503">
        <f>SUM(H42:J42)</f>
        <v>6200</v>
      </c>
      <c r="L42" s="853">
        <v>6132.89128</v>
      </c>
      <c r="M42" s="829"/>
      <c r="N42" s="854"/>
      <c r="O42" s="535">
        <f>SUM(L42:N42)</f>
        <v>6132.89128</v>
      </c>
      <c r="P42" s="459">
        <f>O42/K42</f>
        <v>0.9891760129032258</v>
      </c>
    </row>
    <row r="43" spans="1:16" ht="15" customHeight="1">
      <c r="A43" s="1379"/>
      <c r="B43" s="498" t="s">
        <v>134</v>
      </c>
      <c r="C43" s="559" t="s">
        <v>524</v>
      </c>
      <c r="D43" s="595">
        <v>33878</v>
      </c>
      <c r="E43" s="592">
        <v>200</v>
      </c>
      <c r="F43" s="518">
        <v>2800</v>
      </c>
      <c r="G43" s="503">
        <f t="shared" si="11"/>
        <v>36878</v>
      </c>
      <c r="H43" s="593">
        <f>33116.7-I43-J43</f>
        <v>29981.699999999997</v>
      </c>
      <c r="I43" s="827">
        <v>380</v>
      </c>
      <c r="J43" s="555">
        <v>2755</v>
      </c>
      <c r="K43" s="503">
        <f t="shared" si="13"/>
        <v>33116.7</v>
      </c>
      <c r="L43" s="853">
        <f>29738.91726-M43-N43</f>
        <v>26621.91726</v>
      </c>
      <c r="M43" s="827">
        <v>362</v>
      </c>
      <c r="N43" s="831">
        <v>2755</v>
      </c>
      <c r="O43" s="535">
        <f t="shared" si="12"/>
        <v>29738.91726</v>
      </c>
      <c r="P43" s="459">
        <f>O43/K43</f>
        <v>0.8980036434789699</v>
      </c>
    </row>
    <row r="44" spans="1:16" ht="27.75" customHeight="1">
      <c r="A44" s="1379"/>
      <c r="B44" s="498" t="s">
        <v>165</v>
      </c>
      <c r="C44" s="594" t="s">
        <v>723</v>
      </c>
      <c r="D44" s="505">
        <v>410</v>
      </c>
      <c r="E44" s="592"/>
      <c r="F44" s="841"/>
      <c r="G44" s="503">
        <f t="shared" si="11"/>
        <v>410</v>
      </c>
      <c r="H44" s="598">
        <v>310</v>
      </c>
      <c r="I44" s="829"/>
      <c r="J44" s="600"/>
      <c r="K44" s="858">
        <f t="shared" si="13"/>
        <v>310</v>
      </c>
      <c r="L44" s="853">
        <v>114.485</v>
      </c>
      <c r="M44" s="829"/>
      <c r="N44" s="863" t="s">
        <v>531</v>
      </c>
      <c r="O44" s="535">
        <f t="shared" si="12"/>
        <v>114.485</v>
      </c>
      <c r="P44" s="459">
        <f aca="true" t="shared" si="14" ref="P44:P72">O44/K44</f>
        <v>0.3693064516129032</v>
      </c>
    </row>
    <row r="45" spans="1:16" ht="27.75" customHeight="1">
      <c r="A45" s="1379"/>
      <c r="B45" s="498" t="s">
        <v>188</v>
      </c>
      <c r="C45" s="539" t="s">
        <v>158</v>
      </c>
      <c r="D45" s="508"/>
      <c r="E45" s="586"/>
      <c r="F45" s="542"/>
      <c r="G45" s="511"/>
      <c r="H45" s="836">
        <v>6606</v>
      </c>
      <c r="I45" s="840"/>
      <c r="J45" s="857"/>
      <c r="K45" s="543">
        <f t="shared" si="13"/>
        <v>6606</v>
      </c>
      <c r="L45" s="856">
        <v>432.525</v>
      </c>
      <c r="M45" s="828"/>
      <c r="N45" s="857"/>
      <c r="O45" s="535">
        <f t="shared" si="12"/>
        <v>432.525</v>
      </c>
      <c r="P45" s="459">
        <f t="shared" si="14"/>
        <v>0.06547456857402362</v>
      </c>
    </row>
    <row r="46" spans="1:16" ht="30.75" customHeight="1">
      <c r="A46" s="1380"/>
      <c r="B46" s="1376" t="s">
        <v>116</v>
      </c>
      <c r="C46" s="1377"/>
      <c r="D46" s="523">
        <f aca="true" t="shared" si="15" ref="D46:O46">SUM(D38:D45)</f>
        <v>34988</v>
      </c>
      <c r="E46" s="524">
        <f t="shared" si="15"/>
        <v>3200</v>
      </c>
      <c r="F46" s="525">
        <f t="shared" si="15"/>
        <v>2800</v>
      </c>
      <c r="G46" s="544">
        <f t="shared" si="15"/>
        <v>40988</v>
      </c>
      <c r="H46" s="865">
        <f t="shared" si="15"/>
        <v>44797.7</v>
      </c>
      <c r="I46" s="893">
        <f t="shared" si="15"/>
        <v>630</v>
      </c>
      <c r="J46" s="892">
        <f t="shared" si="15"/>
        <v>2755</v>
      </c>
      <c r="K46" s="601">
        <f t="shared" si="15"/>
        <v>48182.7</v>
      </c>
      <c r="L46" s="865">
        <f t="shared" si="15"/>
        <v>33919.60454</v>
      </c>
      <c r="M46" s="866">
        <f t="shared" si="15"/>
        <v>541.08</v>
      </c>
      <c r="N46" s="864">
        <f t="shared" si="15"/>
        <v>2755</v>
      </c>
      <c r="O46" s="602">
        <f t="shared" si="15"/>
        <v>37215.68454</v>
      </c>
      <c r="P46" s="568">
        <f t="shared" si="14"/>
        <v>0.7723868637498522</v>
      </c>
    </row>
    <row r="47" spans="1:16" ht="15" customHeight="1">
      <c r="A47" s="1378" t="s">
        <v>532</v>
      </c>
      <c r="B47" s="431" t="s">
        <v>223</v>
      </c>
      <c r="C47" s="432" t="s">
        <v>533</v>
      </c>
      <c r="D47" s="533">
        <v>18929</v>
      </c>
      <c r="E47" s="603"/>
      <c r="F47" s="604"/>
      <c r="G47" s="605">
        <f>SUM(D47:F47)</f>
        <v>18929</v>
      </c>
      <c r="H47" s="834">
        <f>21495.5-I47</f>
        <v>18817.8</v>
      </c>
      <c r="I47" s="862">
        <v>2677.7</v>
      </c>
      <c r="J47" s="852"/>
      <c r="K47" s="606">
        <f>SUM(H47:J47)</f>
        <v>21495.5</v>
      </c>
      <c r="L47" s="607">
        <f>13643.22812-M47</f>
        <v>11644.09892</v>
      </c>
      <c r="M47" s="862">
        <v>1999.1292</v>
      </c>
      <c r="N47" s="854"/>
      <c r="O47" s="606">
        <f aca="true" t="shared" si="16" ref="O47:O52">SUM(L47:N47)</f>
        <v>13643.22812</v>
      </c>
      <c r="P47" s="459">
        <f t="shared" si="14"/>
        <v>0.6347015942871764</v>
      </c>
    </row>
    <row r="48" spans="1:16" ht="15" customHeight="1">
      <c r="A48" s="1379"/>
      <c r="B48" s="608" t="s">
        <v>166</v>
      </c>
      <c r="C48" s="580" t="s">
        <v>155</v>
      </c>
      <c r="D48" s="609"/>
      <c r="E48" s="471">
        <v>2500</v>
      </c>
      <c r="F48" s="464"/>
      <c r="G48" s="610">
        <f aca="true" t="shared" si="17" ref="G48:G57">SUM(D48:F48)</f>
        <v>2500</v>
      </c>
      <c r="H48" s="839"/>
      <c r="I48" s="829"/>
      <c r="J48" s="513"/>
      <c r="K48" s="860"/>
      <c r="L48" s="839"/>
      <c r="M48" s="829"/>
      <c r="N48" s="832"/>
      <c r="O48" s="503"/>
      <c r="P48" s="459"/>
    </row>
    <row r="49" spans="1:16" ht="15" customHeight="1">
      <c r="A49" s="1379"/>
      <c r="B49" s="611" t="s">
        <v>534</v>
      </c>
      <c r="C49" s="559" t="s">
        <v>524</v>
      </c>
      <c r="D49" s="612"/>
      <c r="E49" s="613"/>
      <c r="F49" s="614"/>
      <c r="G49" s="605"/>
      <c r="H49" s="470">
        <v>10</v>
      </c>
      <c r="I49" s="829"/>
      <c r="J49" s="855"/>
      <c r="K49" s="860">
        <f>SUM(H49:J49)</f>
        <v>10</v>
      </c>
      <c r="L49" s="839">
        <v>10</v>
      </c>
      <c r="M49" s="519"/>
      <c r="N49" s="832"/>
      <c r="O49" s="464">
        <f t="shared" si="16"/>
        <v>10</v>
      </c>
      <c r="P49" s="459">
        <f t="shared" si="14"/>
        <v>1</v>
      </c>
    </row>
    <row r="50" spans="1:16" ht="15" customHeight="1">
      <c r="A50" s="1379"/>
      <c r="B50" s="611" t="s">
        <v>213</v>
      </c>
      <c r="C50" s="447" t="s">
        <v>214</v>
      </c>
      <c r="D50" s="564">
        <v>1450</v>
      </c>
      <c r="E50" s="615"/>
      <c r="F50" s="616">
        <v>200</v>
      </c>
      <c r="G50" s="610">
        <f t="shared" si="17"/>
        <v>1650</v>
      </c>
      <c r="H50" s="839">
        <f>1533.1-J50</f>
        <v>1158.3</v>
      </c>
      <c r="I50" s="829"/>
      <c r="J50" s="458">
        <v>374.8</v>
      </c>
      <c r="K50" s="861">
        <f>SUM(H50:J50)</f>
        <v>1533.1</v>
      </c>
      <c r="L50" s="839">
        <f>1080.087-N50</f>
        <v>705.327</v>
      </c>
      <c r="M50" s="829"/>
      <c r="N50" s="832">
        <v>374.76</v>
      </c>
      <c r="O50" s="861">
        <f t="shared" si="16"/>
        <v>1080.087</v>
      </c>
      <c r="P50" s="459">
        <f t="shared" si="14"/>
        <v>0.7045117735307547</v>
      </c>
    </row>
    <row r="51" spans="1:16" ht="27.75" customHeight="1">
      <c r="A51" s="1379"/>
      <c r="B51" s="472" t="s">
        <v>137</v>
      </c>
      <c r="C51" s="617" t="s">
        <v>158</v>
      </c>
      <c r="D51" s="612"/>
      <c r="E51" s="618">
        <v>19117.2</v>
      </c>
      <c r="F51" s="619"/>
      <c r="G51" s="620">
        <f t="shared" si="17"/>
        <v>19117.2</v>
      </c>
      <c r="H51" s="836"/>
      <c r="I51" s="828">
        <v>22963.2</v>
      </c>
      <c r="J51" s="623"/>
      <c r="K51" s="624">
        <f>SUM(H51:J51)</f>
        <v>22963.2</v>
      </c>
      <c r="L51" s="836"/>
      <c r="M51" s="622">
        <v>22113.85208</v>
      </c>
      <c r="N51" s="857"/>
      <c r="O51" s="624">
        <f t="shared" si="16"/>
        <v>22113.85208</v>
      </c>
      <c r="P51" s="459">
        <f t="shared" si="14"/>
        <v>0.9630126498049052</v>
      </c>
    </row>
    <row r="52" spans="1:16" ht="30.75" customHeight="1">
      <c r="A52" s="1380"/>
      <c r="B52" s="1376" t="s">
        <v>116</v>
      </c>
      <c r="C52" s="1377"/>
      <c r="D52" s="625">
        <f>SUM(D47:D51)</f>
        <v>20379</v>
      </c>
      <c r="E52" s="626">
        <f>SUM(E48:E51)</f>
        <v>21617.2</v>
      </c>
      <c r="F52" s="627">
        <f>SUM(F48:F51)</f>
        <v>200</v>
      </c>
      <c r="G52" s="544">
        <f t="shared" si="17"/>
        <v>42196.2</v>
      </c>
      <c r="H52" s="491">
        <f aca="true" t="shared" si="18" ref="H52:N52">SUM(H47:H51)</f>
        <v>19986.1</v>
      </c>
      <c r="I52" s="545">
        <f t="shared" si="18"/>
        <v>25640.9</v>
      </c>
      <c r="J52" s="484">
        <f t="shared" si="18"/>
        <v>374.8</v>
      </c>
      <c r="K52" s="546">
        <f t="shared" si="18"/>
        <v>46001.8</v>
      </c>
      <c r="L52" s="491">
        <f t="shared" si="18"/>
        <v>12359.42592</v>
      </c>
      <c r="M52" s="545">
        <f t="shared" si="18"/>
        <v>24112.98128</v>
      </c>
      <c r="N52" s="484">
        <f t="shared" si="18"/>
        <v>374.76</v>
      </c>
      <c r="O52" s="546">
        <f t="shared" si="16"/>
        <v>36847.1672</v>
      </c>
      <c r="P52" s="568">
        <f t="shared" si="14"/>
        <v>0.8009940306683652</v>
      </c>
    </row>
    <row r="53" spans="1:16" ht="15" customHeight="1">
      <c r="A53" s="1402" t="s">
        <v>535</v>
      </c>
      <c r="B53" s="628" t="s">
        <v>167</v>
      </c>
      <c r="C53" s="559" t="s">
        <v>155</v>
      </c>
      <c r="D53" s="494">
        <v>9507</v>
      </c>
      <c r="E53" s="495">
        <v>35150</v>
      </c>
      <c r="F53" s="629"/>
      <c r="G53" s="436">
        <f t="shared" si="17"/>
        <v>44657</v>
      </c>
      <c r="H53" s="621">
        <v>5358.5</v>
      </c>
      <c r="I53" s="599">
        <v>48558.5</v>
      </c>
      <c r="J53" s="458"/>
      <c r="K53" s="535">
        <f>SUM(H53:J53)</f>
        <v>53917</v>
      </c>
      <c r="L53" s="457">
        <v>3465.32445</v>
      </c>
      <c r="M53" s="575">
        <v>10294.37803</v>
      </c>
      <c r="N53" s="458"/>
      <c r="O53" s="535">
        <f>SUM(L53:N53)</f>
        <v>13759.70248</v>
      </c>
      <c r="P53" s="459">
        <f t="shared" si="14"/>
        <v>0.2552015594339448</v>
      </c>
    </row>
    <row r="54" spans="1:16" ht="15" customHeight="1">
      <c r="A54" s="1402"/>
      <c r="B54" s="446" t="s">
        <v>536</v>
      </c>
      <c r="C54" s="559" t="s">
        <v>524</v>
      </c>
      <c r="D54" s="505"/>
      <c r="E54" s="592"/>
      <c r="F54" s="589"/>
      <c r="G54" s="503"/>
      <c r="H54" s="824">
        <v>1707.8</v>
      </c>
      <c r="I54" s="829"/>
      <c r="J54" s="458"/>
      <c r="K54" s="535">
        <f>SUM(H54:J54)</f>
        <v>1707.8</v>
      </c>
      <c r="L54" s="457">
        <v>520.554</v>
      </c>
      <c r="M54" s="575"/>
      <c r="N54" s="458"/>
      <c r="O54" s="455">
        <f>SUM(L54:N54)</f>
        <v>520.554</v>
      </c>
      <c r="P54" s="459">
        <f>O54/K54</f>
        <v>0.3048096966857946</v>
      </c>
    </row>
    <row r="55" spans="1:16" ht="15" customHeight="1">
      <c r="A55" s="1379"/>
      <c r="B55" s="446" t="s">
        <v>123</v>
      </c>
      <c r="C55" s="559" t="s">
        <v>163</v>
      </c>
      <c r="D55" s="505">
        <v>500</v>
      </c>
      <c r="E55" s="632"/>
      <c r="F55" s="596"/>
      <c r="G55" s="464">
        <f t="shared" si="17"/>
        <v>500</v>
      </c>
      <c r="H55" s="891">
        <v>887.8</v>
      </c>
      <c r="I55" s="827"/>
      <c r="J55" s="458"/>
      <c r="K55" s="535">
        <f>SUM(H55:J55)</f>
        <v>887.8</v>
      </c>
      <c r="L55" s="572">
        <v>542.35</v>
      </c>
      <c r="M55" s="575"/>
      <c r="N55" s="458"/>
      <c r="O55" s="535">
        <f>SUM(L55:N55)</f>
        <v>542.35</v>
      </c>
      <c r="P55" s="459">
        <f t="shared" si="14"/>
        <v>0.6108920928136968</v>
      </c>
    </row>
    <row r="56" spans="1:16" ht="27.75" customHeight="1">
      <c r="A56" s="1379"/>
      <c r="B56" s="446" t="s">
        <v>124</v>
      </c>
      <c r="C56" s="594" t="s">
        <v>158</v>
      </c>
      <c r="D56" s="505">
        <v>250</v>
      </c>
      <c r="E56" s="592"/>
      <c r="F56" s="589"/>
      <c r="G56" s="503">
        <f t="shared" si="17"/>
        <v>250</v>
      </c>
      <c r="H56" s="853">
        <v>2668.4</v>
      </c>
      <c r="I56" s="827"/>
      <c r="J56" s="630"/>
      <c r="K56" s="455">
        <f>SUM(H56:J56)</f>
        <v>2668.4</v>
      </c>
      <c r="L56" s="572">
        <v>2596.397</v>
      </c>
      <c r="M56" s="575"/>
      <c r="N56" s="630"/>
      <c r="O56" s="455">
        <f>SUM(L56:N56)</f>
        <v>2596.397</v>
      </c>
      <c r="P56" s="459">
        <f t="shared" si="14"/>
        <v>0.973016414330685</v>
      </c>
    </row>
    <row r="57" spans="1:16" ht="15" customHeight="1">
      <c r="A57" s="1379"/>
      <c r="B57" s="611" t="s">
        <v>197</v>
      </c>
      <c r="C57" s="631" t="s">
        <v>218</v>
      </c>
      <c r="D57" s="540">
        <v>3000</v>
      </c>
      <c r="E57" s="541">
        <v>3050</v>
      </c>
      <c r="F57" s="542"/>
      <c r="G57" s="543">
        <f t="shared" si="17"/>
        <v>6050</v>
      </c>
      <c r="H57" s="634">
        <f>321265-312813</f>
        <v>8452</v>
      </c>
      <c r="I57" s="890">
        <v>4935.8</v>
      </c>
      <c r="J57" s="522"/>
      <c r="K57" s="480">
        <f>SUM(H57:J57)</f>
        <v>13387.8</v>
      </c>
      <c r="L57" s="634">
        <f>504177.6654-496599.75</f>
        <v>7577.915399999998</v>
      </c>
      <c r="M57" s="622">
        <v>4843.19378</v>
      </c>
      <c r="N57" s="522"/>
      <c r="O57" s="480">
        <f>SUM(L57:N57)</f>
        <v>12421.109179999998</v>
      </c>
      <c r="P57" s="668">
        <f>O57/K57</f>
        <v>0.9277931534680828</v>
      </c>
    </row>
    <row r="58" spans="1:16" ht="30.75" customHeight="1">
      <c r="A58" s="1380"/>
      <c r="B58" s="1376" t="s">
        <v>116</v>
      </c>
      <c r="C58" s="1377"/>
      <c r="D58" s="523">
        <f>SUM(D53:D57)</f>
        <v>13257</v>
      </c>
      <c r="E58" s="524">
        <f>SUM(E53:E57)</f>
        <v>38200</v>
      </c>
      <c r="F58" s="525"/>
      <c r="G58" s="544">
        <f>SUM(G53:G57)</f>
        <v>51457</v>
      </c>
      <c r="H58" s="601">
        <f>SUM(H53:H57)</f>
        <v>19074.5</v>
      </c>
      <c r="I58" s="545">
        <f>SUM(I53:I57)</f>
        <v>53494.3</v>
      </c>
      <c r="J58" s="635"/>
      <c r="K58" s="602">
        <f>SUM(K53:K57)</f>
        <v>72568.8</v>
      </c>
      <c r="L58" s="601">
        <f>SUM(L53:L57)</f>
        <v>14702.540849999998</v>
      </c>
      <c r="M58" s="545">
        <f>SUM(M53:M57)</f>
        <v>15137.57181</v>
      </c>
      <c r="N58" s="635"/>
      <c r="O58" s="602">
        <f>SUM(O53:O57)</f>
        <v>29840.11266</v>
      </c>
      <c r="P58" s="568">
        <f t="shared" si="14"/>
        <v>0.4111975485332539</v>
      </c>
    </row>
    <row r="59" spans="1:16" ht="15" customHeight="1">
      <c r="A59" s="1373" t="s">
        <v>537</v>
      </c>
      <c r="B59" s="636" t="s">
        <v>125</v>
      </c>
      <c r="C59" s="637" t="s">
        <v>126</v>
      </c>
      <c r="D59" s="638">
        <v>285</v>
      </c>
      <c r="E59" s="434"/>
      <c r="F59" s="435"/>
      <c r="G59" s="464">
        <f>SUM(D59:F59)</f>
        <v>285</v>
      </c>
      <c r="H59" s="639">
        <v>514.9</v>
      </c>
      <c r="I59" s="862"/>
      <c r="J59" s="443"/>
      <c r="K59" s="641">
        <f>SUM(H59:J59)</f>
        <v>514.9</v>
      </c>
      <c r="L59" s="639">
        <v>512.919</v>
      </c>
      <c r="M59" s="570"/>
      <c r="N59" s="443"/>
      <c r="O59" s="532">
        <f>SUM(L59:N59)</f>
        <v>512.919</v>
      </c>
      <c r="P59" s="445">
        <f t="shared" si="14"/>
        <v>0.9961526510001942</v>
      </c>
    </row>
    <row r="60" spans="1:16" ht="15" customHeight="1">
      <c r="A60" s="1373"/>
      <c r="B60" s="446" t="s">
        <v>168</v>
      </c>
      <c r="C60" s="559" t="s">
        <v>533</v>
      </c>
      <c r="D60" s="508">
        <v>1810</v>
      </c>
      <c r="E60" s="586"/>
      <c r="F60" s="587"/>
      <c r="G60" s="597">
        <f>SUM(D60:F60)</f>
        <v>1810</v>
      </c>
      <c r="H60" s="572">
        <v>1810</v>
      </c>
      <c r="I60" s="829"/>
      <c r="J60" s="831"/>
      <c r="K60" s="535">
        <f>SUM(H60:J60)</f>
        <v>1810</v>
      </c>
      <c r="L60" s="572">
        <v>1006.363</v>
      </c>
      <c r="M60" s="575"/>
      <c r="N60" s="832"/>
      <c r="O60" s="503">
        <f aca="true" t="shared" si="19" ref="O60:O67">SUM(L60:N60)</f>
        <v>1006.363</v>
      </c>
      <c r="P60" s="886">
        <f t="shared" si="14"/>
        <v>0.5560016574585636</v>
      </c>
    </row>
    <row r="61" spans="1:16" ht="15" customHeight="1">
      <c r="A61" s="1374"/>
      <c r="B61" s="446" t="s">
        <v>170</v>
      </c>
      <c r="C61" s="559" t="s">
        <v>155</v>
      </c>
      <c r="D61" s="505">
        <v>13538</v>
      </c>
      <c r="E61" s="506">
        <v>16500</v>
      </c>
      <c r="F61" s="589"/>
      <c r="G61" s="642">
        <f>SUM(D61:F61)</f>
        <v>30038</v>
      </c>
      <c r="H61" s="572">
        <v>4719.7</v>
      </c>
      <c r="I61" s="884">
        <v>6759.5</v>
      </c>
      <c r="J61" s="513"/>
      <c r="K61" s="535">
        <f aca="true" t="shared" si="20" ref="K61:K67">SUM(H61:J61)</f>
        <v>11479.2</v>
      </c>
      <c r="L61" s="572">
        <v>2618.34155</v>
      </c>
      <c r="M61" s="643">
        <v>5839.78586</v>
      </c>
      <c r="N61" s="832"/>
      <c r="O61" s="503">
        <f t="shared" si="19"/>
        <v>8458.127410000001</v>
      </c>
      <c r="P61" s="886">
        <f t="shared" si="14"/>
        <v>0.7368220267962925</v>
      </c>
    </row>
    <row r="62" spans="1:16" ht="15" customHeight="1">
      <c r="A62" s="1374"/>
      <c r="B62" s="446" t="s">
        <v>171</v>
      </c>
      <c r="C62" s="559" t="s">
        <v>533</v>
      </c>
      <c r="D62" s="644">
        <v>35551</v>
      </c>
      <c r="E62" s="645">
        <v>7750</v>
      </c>
      <c r="F62" s="646"/>
      <c r="G62" s="642">
        <f>SUM(D62:F62)</f>
        <v>43301</v>
      </c>
      <c r="H62" s="572">
        <v>35200.3</v>
      </c>
      <c r="I62" s="881">
        <v>3967.5</v>
      </c>
      <c r="J62" s="832"/>
      <c r="K62" s="535">
        <f t="shared" si="20"/>
        <v>39167.8</v>
      </c>
      <c r="L62" s="572">
        <v>26005.10624</v>
      </c>
      <c r="M62" s="643">
        <v>1727.9804</v>
      </c>
      <c r="N62" s="832"/>
      <c r="O62" s="503">
        <f t="shared" si="19"/>
        <v>27733.08664</v>
      </c>
      <c r="P62" s="887">
        <f t="shared" si="14"/>
        <v>0.7080583193337384</v>
      </c>
    </row>
    <row r="63" spans="1:16" ht="15" customHeight="1">
      <c r="A63" s="1374"/>
      <c r="B63" s="446" t="s">
        <v>198</v>
      </c>
      <c r="C63" s="559" t="s">
        <v>199</v>
      </c>
      <c r="D63" s="644">
        <v>9339</v>
      </c>
      <c r="E63" s="645"/>
      <c r="F63" s="646"/>
      <c r="G63" s="503">
        <f aca="true" t="shared" si="21" ref="G63:G70">SUM(D63:F63)</f>
        <v>9339</v>
      </c>
      <c r="H63" s="572">
        <v>10181.8</v>
      </c>
      <c r="I63" s="882"/>
      <c r="J63" s="831"/>
      <c r="K63" s="535">
        <f t="shared" si="20"/>
        <v>10181.8</v>
      </c>
      <c r="L63" s="572">
        <v>8766.15328</v>
      </c>
      <c r="M63" s="643"/>
      <c r="N63" s="832"/>
      <c r="O63" s="503">
        <f>SUM(L63:N63)</f>
        <v>8766.15328</v>
      </c>
      <c r="P63" s="459">
        <f>O63/K63</f>
        <v>0.8609630202911077</v>
      </c>
    </row>
    <row r="64" spans="1:16" ht="15" customHeight="1">
      <c r="A64" s="1374"/>
      <c r="B64" s="446" t="s">
        <v>56</v>
      </c>
      <c r="C64" s="559" t="s">
        <v>538</v>
      </c>
      <c r="D64" s="644">
        <v>28128.7</v>
      </c>
      <c r="E64" s="645">
        <v>14600</v>
      </c>
      <c r="F64" s="646"/>
      <c r="G64" s="464">
        <f t="shared" si="21"/>
        <v>42728.7</v>
      </c>
      <c r="H64" s="572">
        <f>47317-I64</f>
        <v>34367.7</v>
      </c>
      <c r="I64" s="883">
        <v>12949.3</v>
      </c>
      <c r="J64" s="616"/>
      <c r="K64" s="535">
        <f t="shared" si="20"/>
        <v>47317</v>
      </c>
      <c r="L64" s="572">
        <f>35875.8192-M64</f>
        <v>29038.728639999998</v>
      </c>
      <c r="M64" s="643">
        <f>954.0245+195.6897+5687.37636</f>
        <v>6837.090560000001</v>
      </c>
      <c r="N64" s="832"/>
      <c r="O64" s="597">
        <f t="shared" si="19"/>
        <v>35875.8192</v>
      </c>
      <c r="P64" s="886">
        <f t="shared" si="14"/>
        <v>0.7582014751569203</v>
      </c>
    </row>
    <row r="65" spans="1:16" ht="15" customHeight="1">
      <c r="A65" s="1374"/>
      <c r="B65" s="446" t="s">
        <v>57</v>
      </c>
      <c r="C65" s="559" t="s">
        <v>523</v>
      </c>
      <c r="D65" s="644">
        <v>220908</v>
      </c>
      <c r="E65" s="647"/>
      <c r="F65" s="646"/>
      <c r="G65" s="503">
        <f t="shared" si="21"/>
        <v>220908</v>
      </c>
      <c r="H65" s="572">
        <f>250898.4-H66</f>
        <v>244104.3</v>
      </c>
      <c r="I65" s="829"/>
      <c r="J65" s="513"/>
      <c r="K65" s="535">
        <f t="shared" si="20"/>
        <v>244104.3</v>
      </c>
      <c r="L65" s="593">
        <f>247311.37408-L66</f>
        <v>240766.11044000002</v>
      </c>
      <c r="M65" s="575"/>
      <c r="N65" s="855"/>
      <c r="O65" s="590">
        <f>SUM(L65:N65)</f>
        <v>240766.11044000002</v>
      </c>
      <c r="P65" s="886">
        <f t="shared" si="14"/>
        <v>0.9863247408587232</v>
      </c>
    </row>
    <row r="66" spans="1:16" ht="27.75" customHeight="1">
      <c r="A66" s="1374"/>
      <c r="B66" s="446" t="s">
        <v>539</v>
      </c>
      <c r="C66" s="594" t="s">
        <v>540</v>
      </c>
      <c r="D66" s="644">
        <v>6537.3</v>
      </c>
      <c r="E66" s="647"/>
      <c r="F66" s="646"/>
      <c r="G66" s="464">
        <f t="shared" si="21"/>
        <v>6537.3</v>
      </c>
      <c r="H66" s="572">
        <f>52.9+3045.6+350+3345.6</f>
        <v>6794.1</v>
      </c>
      <c r="I66" s="829"/>
      <c r="J66" s="832"/>
      <c r="K66" s="535">
        <f t="shared" si="20"/>
        <v>6794.1</v>
      </c>
      <c r="L66" s="593">
        <v>6545.26364</v>
      </c>
      <c r="M66" s="599"/>
      <c r="N66" s="868"/>
      <c r="O66" s="885">
        <f t="shared" si="19"/>
        <v>6545.26364</v>
      </c>
      <c r="P66" s="887">
        <f t="shared" si="14"/>
        <v>0.963374639760969</v>
      </c>
    </row>
    <row r="67" spans="1:16" ht="15" customHeight="1">
      <c r="A67" s="1374"/>
      <c r="B67" s="460" t="s">
        <v>127</v>
      </c>
      <c r="C67" s="648" t="s">
        <v>524</v>
      </c>
      <c r="D67" s="516">
        <v>11593</v>
      </c>
      <c r="E67" s="632"/>
      <c r="F67" s="633">
        <v>300</v>
      </c>
      <c r="G67" s="543">
        <f t="shared" si="21"/>
        <v>11893</v>
      </c>
      <c r="H67" s="649">
        <f>9071.5-J67</f>
        <v>8856.3</v>
      </c>
      <c r="I67" s="828"/>
      <c r="J67" s="857">
        <v>215.2</v>
      </c>
      <c r="K67" s="650">
        <f t="shared" si="20"/>
        <v>9071.5</v>
      </c>
      <c r="L67" s="651">
        <f>3335.23-N67</f>
        <v>3120.035</v>
      </c>
      <c r="M67" s="828"/>
      <c r="N67" s="857">
        <v>215.195</v>
      </c>
      <c r="O67" s="543">
        <f t="shared" si="19"/>
        <v>3335.23</v>
      </c>
      <c r="P67" s="668">
        <f t="shared" si="14"/>
        <v>0.36766025464366425</v>
      </c>
    </row>
    <row r="68" spans="1:16" ht="30.75" customHeight="1">
      <c r="A68" s="1375"/>
      <c r="B68" s="1376" t="s">
        <v>116</v>
      </c>
      <c r="C68" s="1377"/>
      <c r="D68" s="523">
        <f>SUM(D59:D67)</f>
        <v>327690</v>
      </c>
      <c r="E68" s="524">
        <f>SUM(E59:E67)</f>
        <v>38850</v>
      </c>
      <c r="F68" s="524">
        <f>SUM(F59:F67)</f>
        <v>300</v>
      </c>
      <c r="G68" s="652">
        <f t="shared" si="21"/>
        <v>366840</v>
      </c>
      <c r="H68" s="491">
        <f>SUM(H59:H67)</f>
        <v>346549.0999999999</v>
      </c>
      <c r="I68" s="545">
        <f>SUM(I60:I67)</f>
        <v>23676.3</v>
      </c>
      <c r="J68" s="484">
        <f>SUM(J60:J67)</f>
        <v>215.2</v>
      </c>
      <c r="K68" s="546">
        <f>SUM(K59:K67)</f>
        <v>370440.6</v>
      </c>
      <c r="L68" s="482">
        <f>SUM(L59:L67)</f>
        <v>318379.02079000004</v>
      </c>
      <c r="M68" s="545">
        <f>SUM(M59:M67)</f>
        <v>14404.85682</v>
      </c>
      <c r="N68" s="484">
        <f>SUM(N59:N67)</f>
        <v>215.195</v>
      </c>
      <c r="O68" s="546">
        <f>SUM(O59:O67)</f>
        <v>332999.07261000003</v>
      </c>
      <c r="P68" s="568">
        <f t="shared" si="14"/>
        <v>0.8989270415013907</v>
      </c>
    </row>
    <row r="69" spans="1:16" ht="15" customHeight="1">
      <c r="A69" s="1373" t="s">
        <v>541</v>
      </c>
      <c r="B69" s="636" t="s">
        <v>128</v>
      </c>
      <c r="C69" s="637" t="s">
        <v>126</v>
      </c>
      <c r="D69" s="638">
        <v>3120</v>
      </c>
      <c r="E69" s="495"/>
      <c r="F69" s="496"/>
      <c r="G69" s="436">
        <f t="shared" si="21"/>
        <v>3120</v>
      </c>
      <c r="H69" s="889">
        <f>16.5+31679.5+6214.9+147+13+3</f>
        <v>38073.9</v>
      </c>
      <c r="I69" s="830">
        <v>4872.1</v>
      </c>
      <c r="J69" s="640"/>
      <c r="K69" s="532">
        <f>SUM(H69:J69)</f>
        <v>42946</v>
      </c>
      <c r="L69" s="653">
        <f>5-85.07166+158.24838+13.00395+6214.98298+0.1</f>
        <v>6306.26365</v>
      </c>
      <c r="M69" s="570"/>
      <c r="N69" s="443"/>
      <c r="O69" s="532">
        <f>SUM(L69:N69)</f>
        <v>6306.26365</v>
      </c>
      <c r="P69" s="459">
        <f t="shared" si="14"/>
        <v>0.1468417000419131</v>
      </c>
    </row>
    <row r="70" spans="1:16" ht="15" customHeight="1">
      <c r="A70" s="1373"/>
      <c r="B70" s="472" t="s">
        <v>542</v>
      </c>
      <c r="C70" s="654" t="s">
        <v>533</v>
      </c>
      <c r="D70" s="655">
        <v>350</v>
      </c>
      <c r="E70" s="656"/>
      <c r="F70" s="657"/>
      <c r="G70" s="543">
        <f t="shared" si="21"/>
        <v>350</v>
      </c>
      <c r="H70" s="825">
        <v>350</v>
      </c>
      <c r="I70" s="828" t="s">
        <v>286</v>
      </c>
      <c r="J70" s="513"/>
      <c r="K70" s="888">
        <f>SUM(H70:J70)</f>
        <v>350</v>
      </c>
      <c r="L70" s="658">
        <v>237.044</v>
      </c>
      <c r="M70" s="519"/>
      <c r="N70" s="857"/>
      <c r="O70" s="543">
        <f>SUM(L70:N70)</f>
        <v>237.044</v>
      </c>
      <c r="P70" s="671">
        <f t="shared" si="14"/>
        <v>0.6772685714285714</v>
      </c>
    </row>
    <row r="71" spans="1:16" ht="30.75" customHeight="1" thickBot="1">
      <c r="A71" s="1374"/>
      <c r="B71" s="1389" t="s">
        <v>116</v>
      </c>
      <c r="C71" s="1390"/>
      <c r="D71" s="659">
        <f>SUM(D69:D70)</f>
        <v>3470</v>
      </c>
      <c r="E71" s="660"/>
      <c r="F71" s="661"/>
      <c r="G71" s="662">
        <f>SUM(G69:G70)</f>
        <v>3470</v>
      </c>
      <c r="H71" s="663">
        <f>SUM(H69:H70)</f>
        <v>38423.9</v>
      </c>
      <c r="I71" s="664">
        <f>SUM(I69:I70)</f>
        <v>4872.1</v>
      </c>
      <c r="J71" s="665"/>
      <c r="K71" s="573">
        <f>SUM(H71:J71)</f>
        <v>43296</v>
      </c>
      <c r="L71" s="663">
        <f>SUM(L69:L70)</f>
        <v>6543.30765</v>
      </c>
      <c r="M71" s="666"/>
      <c r="N71" s="667"/>
      <c r="O71" s="573">
        <f>SUM(L71:N71)</f>
        <v>6543.30765</v>
      </c>
      <c r="P71" s="672">
        <f>O71/K71</f>
        <v>0.1511296112804878</v>
      </c>
    </row>
    <row r="72" spans="1:16" ht="52.5" customHeight="1" thickTop="1">
      <c r="A72" s="1391" t="s">
        <v>129</v>
      </c>
      <c r="B72" s="1392"/>
      <c r="C72" s="1392"/>
      <c r="D72" s="673">
        <f>D9+D15+D20+D30+D37+D46+D52+D58+D68+D71</f>
        <v>703850.5</v>
      </c>
      <c r="E72" s="674">
        <f>E9+E15+E20+E30+E37+E46+E52+E58+E68+E71</f>
        <v>453351.00000000006</v>
      </c>
      <c r="F72" s="675">
        <f>F9+F15+F20+F30+F37+F46+F52+F58+F68+F71</f>
        <v>9650</v>
      </c>
      <c r="G72" s="676">
        <f>SUM(D72:F72)</f>
        <v>1166851.5</v>
      </c>
      <c r="H72" s="674">
        <f>H9+H15+H20+H30+H37+H46+H52+H58+H68+H71</f>
        <v>850236.3999999999</v>
      </c>
      <c r="I72" s="674">
        <f>I9+I15+I20+I30+I37+I46+I52+I58+I68+I71</f>
        <v>569477.5000000001</v>
      </c>
      <c r="J72" s="674">
        <f>J9+J15+J20+J30+J37+J46+J52+J58+J68+J71</f>
        <v>9628</v>
      </c>
      <c r="K72" s="676">
        <f>SUM(H72:J72)</f>
        <v>1429341.9</v>
      </c>
      <c r="L72" s="674">
        <f>L9+L15+L20+L30+L37+L46+L52+L58+L68+L71</f>
        <v>725546.0138300001</v>
      </c>
      <c r="M72" s="674">
        <f>M9+M15+M20+M30+M37+M46+M52+M58+M68+M71</f>
        <v>334943.57879</v>
      </c>
      <c r="N72" s="674">
        <f>N9+N15+N20+N30+N37+N46+N52+N58+N68+N71</f>
        <v>9556.442000000001</v>
      </c>
      <c r="O72" s="676">
        <f>SUM(L72:N72)</f>
        <v>1070046.03462</v>
      </c>
      <c r="P72" s="677">
        <f t="shared" si="14"/>
        <v>0.7486284664431933</v>
      </c>
    </row>
    <row r="73" spans="1:12" ht="15" customHeight="1">
      <c r="A73" s="515"/>
      <c r="B73" s="515"/>
      <c r="C73" s="515"/>
      <c r="D73" s="820"/>
      <c r="E73" s="515"/>
      <c r="F73" s="515"/>
      <c r="G73" s="515"/>
      <c r="H73" s="820"/>
      <c r="I73" s="515"/>
      <c r="J73" s="515"/>
      <c r="K73" s="515"/>
      <c r="L73" s="820"/>
    </row>
    <row r="74" spans="1:12" ht="15" customHeight="1">
      <c r="A74" s="515"/>
      <c r="B74" s="515"/>
      <c r="C74" s="515"/>
      <c r="D74" s="820"/>
      <c r="E74" s="515"/>
      <c r="F74" s="515"/>
      <c r="G74" s="515"/>
      <c r="H74" s="820"/>
      <c r="I74" s="515"/>
      <c r="J74" s="515"/>
      <c r="K74" s="515"/>
      <c r="L74" s="820"/>
    </row>
    <row r="75" spans="1:12" ht="15" customHeight="1">
      <c r="A75" s="515"/>
      <c r="B75" s="515"/>
      <c r="C75" s="515"/>
      <c r="D75" s="820"/>
      <c r="E75" s="515"/>
      <c r="F75" s="515"/>
      <c r="G75" s="515"/>
      <c r="H75" s="820"/>
      <c r="I75" s="515"/>
      <c r="J75" s="515"/>
      <c r="K75" s="515"/>
      <c r="L75" s="820"/>
    </row>
    <row r="76" spans="1:12" ht="15" customHeight="1">
      <c r="A76" s="515"/>
      <c r="B76" s="515"/>
      <c r="C76" s="515"/>
      <c r="D76" s="820"/>
      <c r="E76" s="515"/>
      <c r="F76" s="515"/>
      <c r="G76" s="515"/>
      <c r="H76" s="820"/>
      <c r="I76" s="515"/>
      <c r="J76" s="515"/>
      <c r="K76" s="515"/>
      <c r="L76" s="820"/>
    </row>
    <row r="77" spans="1:12" ht="15" customHeight="1">
      <c r="A77" s="515"/>
      <c r="B77" s="515"/>
      <c r="C77" s="515"/>
      <c r="D77" s="820"/>
      <c r="E77" s="515"/>
      <c r="F77" s="515"/>
      <c r="G77" s="515"/>
      <c r="H77" s="820"/>
      <c r="I77" s="515"/>
      <c r="J77" s="515"/>
      <c r="K77" s="515"/>
      <c r="L77" s="820"/>
    </row>
    <row r="78" spans="1:12" ht="15" customHeight="1">
      <c r="A78" s="515"/>
      <c r="B78" s="515"/>
      <c r="C78" s="515"/>
      <c r="D78" s="820"/>
      <c r="E78" s="515"/>
      <c r="F78" s="515"/>
      <c r="G78" s="515"/>
      <c r="H78" s="820"/>
      <c r="I78" s="515"/>
      <c r="J78" s="515"/>
      <c r="K78" s="515"/>
      <c r="L78" s="820"/>
    </row>
    <row r="79" spans="1:12" ht="15" customHeight="1">
      <c r="A79" s="515"/>
      <c r="B79" s="515"/>
      <c r="C79" s="515"/>
      <c r="D79" s="820"/>
      <c r="E79" s="515"/>
      <c r="F79" s="515"/>
      <c r="G79" s="515"/>
      <c r="H79" s="820"/>
      <c r="I79" s="515"/>
      <c r="J79" s="515"/>
      <c r="K79" s="515"/>
      <c r="L79" s="820"/>
    </row>
    <row r="80" spans="1:12" ht="15" customHeight="1">
      <c r="A80" s="515"/>
      <c r="B80" s="515"/>
      <c r="C80" s="515"/>
      <c r="D80" s="820"/>
      <c r="E80" s="515"/>
      <c r="F80" s="515"/>
      <c r="G80" s="515"/>
      <c r="H80" s="820"/>
      <c r="I80" s="515"/>
      <c r="J80" s="515"/>
      <c r="K80" s="515"/>
      <c r="L80" s="820"/>
    </row>
    <row r="81" spans="1:12" ht="15" customHeight="1">
      <c r="A81" s="515"/>
      <c r="B81" s="515"/>
      <c r="C81" s="515"/>
      <c r="D81" s="820"/>
      <c r="E81" s="515"/>
      <c r="F81" s="515"/>
      <c r="G81" s="515"/>
      <c r="H81" s="820"/>
      <c r="I81" s="515"/>
      <c r="J81" s="515"/>
      <c r="K81" s="515"/>
      <c r="L81" s="820"/>
    </row>
    <row r="82" spans="1:12" ht="15" customHeight="1">
      <c r="A82" s="515"/>
      <c r="B82" s="515"/>
      <c r="C82" s="515"/>
      <c r="D82" s="820"/>
      <c r="E82" s="515"/>
      <c r="F82" s="515"/>
      <c r="G82" s="515"/>
      <c r="H82" s="820"/>
      <c r="I82" s="515"/>
      <c r="J82" s="515"/>
      <c r="K82" s="515"/>
      <c r="L82" s="820"/>
    </row>
    <row r="83" spans="1:12" ht="15" customHeight="1">
      <c r="A83" s="515"/>
      <c r="B83" s="515"/>
      <c r="C83" s="515"/>
      <c r="D83" s="820"/>
      <c r="E83" s="515"/>
      <c r="F83" s="515"/>
      <c r="G83" s="515"/>
      <c r="H83" s="820"/>
      <c r="I83" s="515"/>
      <c r="J83" s="515"/>
      <c r="K83" s="515"/>
      <c r="L83" s="820"/>
    </row>
    <row r="84" spans="1:12" ht="15" customHeight="1">
      <c r="A84" s="515"/>
      <c r="B84" s="515"/>
      <c r="C84" s="515"/>
      <c r="D84" s="820"/>
      <c r="E84" s="515"/>
      <c r="F84" s="515"/>
      <c r="G84" s="515"/>
      <c r="H84" s="820"/>
      <c r="I84" s="515"/>
      <c r="J84" s="515"/>
      <c r="K84" s="515"/>
      <c r="L84" s="820"/>
    </row>
    <row r="85" spans="1:12" ht="15" customHeight="1">
      <c r="A85" s="515"/>
      <c r="B85" s="515"/>
      <c r="C85" s="515"/>
      <c r="D85" s="820"/>
      <c r="E85" s="515"/>
      <c r="F85" s="515"/>
      <c r="G85" s="515"/>
      <c r="H85" s="820"/>
      <c r="I85" s="515"/>
      <c r="J85" s="515"/>
      <c r="K85" s="515"/>
      <c r="L85" s="820"/>
    </row>
    <row r="86" spans="1:12" ht="15" customHeight="1">
      <c r="A86" s="515"/>
      <c r="B86" s="515"/>
      <c r="C86" s="515"/>
      <c r="D86" s="820"/>
      <c r="E86" s="515"/>
      <c r="F86" s="515"/>
      <c r="G86" s="515"/>
      <c r="H86" s="820"/>
      <c r="I86" s="515"/>
      <c r="J86" s="515"/>
      <c r="K86" s="515"/>
      <c r="L86" s="820"/>
    </row>
    <row r="87" spans="1:12" ht="15" customHeight="1">
      <c r="A87" s="515"/>
      <c r="B87" s="515"/>
      <c r="C87" s="515"/>
      <c r="D87" s="820"/>
      <c r="E87" s="515"/>
      <c r="F87" s="515"/>
      <c r="G87" s="515"/>
      <c r="H87" s="820"/>
      <c r="I87" s="515"/>
      <c r="J87" s="515"/>
      <c r="K87" s="515"/>
      <c r="L87" s="820"/>
    </row>
    <row r="88" spans="1:12" ht="15" customHeight="1">
      <c r="A88" s="515"/>
      <c r="B88" s="515"/>
      <c r="C88" s="515"/>
      <c r="D88" s="820"/>
      <c r="E88" s="515"/>
      <c r="F88" s="515"/>
      <c r="G88" s="515"/>
      <c r="H88" s="820"/>
      <c r="I88" s="515"/>
      <c r="J88" s="515"/>
      <c r="K88" s="515"/>
      <c r="L88" s="820"/>
    </row>
    <row r="89" spans="1:12" ht="15" customHeight="1">
      <c r="A89" s="515"/>
      <c r="B89" s="515"/>
      <c r="C89" s="515"/>
      <c r="D89" s="820"/>
      <c r="E89" s="515"/>
      <c r="F89" s="515"/>
      <c r="G89" s="515"/>
      <c r="H89" s="820"/>
      <c r="I89" s="515"/>
      <c r="J89" s="515"/>
      <c r="K89" s="515"/>
      <c r="L89" s="820"/>
    </row>
    <row r="90" spans="1:12" ht="15" customHeight="1">
      <c r="A90" s="515"/>
      <c r="B90" s="515"/>
      <c r="C90" s="515"/>
      <c r="D90" s="820"/>
      <c r="E90" s="515"/>
      <c r="F90" s="515"/>
      <c r="G90" s="515"/>
      <c r="H90" s="820"/>
      <c r="I90" s="515"/>
      <c r="J90" s="515"/>
      <c r="K90" s="515"/>
      <c r="L90" s="820"/>
    </row>
    <row r="91" spans="1:12" ht="15" customHeight="1">
      <c r="A91" s="515"/>
      <c r="B91" s="515"/>
      <c r="C91" s="515"/>
      <c r="D91" s="820"/>
      <c r="E91" s="515"/>
      <c r="F91" s="515"/>
      <c r="G91" s="515"/>
      <c r="H91" s="820"/>
      <c r="I91" s="515"/>
      <c r="J91" s="515"/>
      <c r="K91" s="515"/>
      <c r="L91" s="820"/>
    </row>
    <row r="92" spans="1:12" ht="15" customHeight="1">
      <c r="A92" s="515"/>
      <c r="B92" s="515"/>
      <c r="C92" s="515"/>
      <c r="D92" s="820"/>
      <c r="E92" s="515"/>
      <c r="F92" s="515"/>
      <c r="G92" s="515"/>
      <c r="H92" s="820"/>
      <c r="I92" s="515"/>
      <c r="J92" s="515"/>
      <c r="K92" s="515"/>
      <c r="L92" s="820"/>
    </row>
    <row r="93" spans="1:12" ht="15" customHeight="1">
      <c r="A93" s="515"/>
      <c r="B93" s="515"/>
      <c r="C93" s="515"/>
      <c r="D93" s="820"/>
      <c r="E93" s="515"/>
      <c r="F93" s="515"/>
      <c r="G93" s="515"/>
      <c r="H93" s="820"/>
      <c r="I93" s="515"/>
      <c r="J93" s="515"/>
      <c r="K93" s="515"/>
      <c r="L93" s="820"/>
    </row>
    <row r="94" spans="1:12" ht="15" customHeight="1">
      <c r="A94" s="515"/>
      <c r="B94" s="515"/>
      <c r="C94" s="515"/>
      <c r="D94" s="820"/>
      <c r="E94" s="515"/>
      <c r="F94" s="515"/>
      <c r="G94" s="515"/>
      <c r="H94" s="820"/>
      <c r="I94" s="515"/>
      <c r="J94" s="515"/>
      <c r="K94" s="515"/>
      <c r="L94" s="820"/>
    </row>
    <row r="95" spans="1:12" ht="15" customHeight="1">
      <c r="A95" s="515"/>
      <c r="B95" s="515"/>
      <c r="C95" s="515"/>
      <c r="D95" s="820"/>
      <c r="E95" s="515"/>
      <c r="F95" s="515"/>
      <c r="G95" s="515"/>
      <c r="H95" s="820"/>
      <c r="I95" s="515"/>
      <c r="J95" s="515"/>
      <c r="K95" s="515"/>
      <c r="L95" s="820"/>
    </row>
    <row r="96" spans="1:12" ht="15" customHeight="1">
      <c r="A96" s="515"/>
      <c r="B96" s="515"/>
      <c r="C96" s="515"/>
      <c r="D96" s="820"/>
      <c r="E96" s="515"/>
      <c r="F96" s="515"/>
      <c r="G96" s="515"/>
      <c r="H96" s="820"/>
      <c r="I96" s="515"/>
      <c r="J96" s="515"/>
      <c r="K96" s="515"/>
      <c r="L96" s="820"/>
    </row>
    <row r="97" spans="1:12" ht="15" customHeight="1">
      <c r="A97" s="515"/>
      <c r="B97" s="515"/>
      <c r="C97" s="515"/>
      <c r="D97" s="820"/>
      <c r="E97" s="515"/>
      <c r="F97" s="515"/>
      <c r="G97" s="515"/>
      <c r="H97" s="820"/>
      <c r="I97" s="515"/>
      <c r="J97" s="515"/>
      <c r="K97" s="515"/>
      <c r="L97" s="820"/>
    </row>
    <row r="98" spans="1:12" ht="15" customHeight="1">
      <c r="A98" s="515"/>
      <c r="B98" s="515"/>
      <c r="C98" s="515"/>
      <c r="D98" s="820"/>
      <c r="E98" s="515"/>
      <c r="F98" s="515"/>
      <c r="G98" s="515"/>
      <c r="H98" s="820"/>
      <c r="I98" s="515"/>
      <c r="J98" s="515"/>
      <c r="K98" s="515"/>
      <c r="L98" s="820"/>
    </row>
    <row r="99" spans="1:12" ht="15" customHeight="1">
      <c r="A99" s="515"/>
      <c r="B99" s="515"/>
      <c r="C99" s="515"/>
      <c r="D99" s="820"/>
      <c r="E99" s="515"/>
      <c r="F99" s="515"/>
      <c r="G99" s="515"/>
      <c r="H99" s="820"/>
      <c r="I99" s="515"/>
      <c r="J99" s="515"/>
      <c r="K99" s="515"/>
      <c r="L99" s="820"/>
    </row>
    <row r="100" spans="1:12" ht="15" customHeight="1">
      <c r="A100" s="515"/>
      <c r="B100" s="515"/>
      <c r="C100" s="515"/>
      <c r="D100" s="820"/>
      <c r="E100" s="515"/>
      <c r="F100" s="515"/>
      <c r="G100" s="515"/>
      <c r="H100" s="820"/>
      <c r="I100" s="515"/>
      <c r="J100" s="515"/>
      <c r="K100" s="515"/>
      <c r="L100" s="820"/>
    </row>
    <row r="101" spans="1:12" ht="15" customHeight="1">
      <c r="A101" s="515"/>
      <c r="B101" s="515"/>
      <c r="C101" s="515"/>
      <c r="D101" s="820"/>
      <c r="E101" s="515"/>
      <c r="F101" s="515"/>
      <c r="G101" s="515"/>
      <c r="H101" s="820"/>
      <c r="I101" s="515"/>
      <c r="J101" s="515"/>
      <c r="K101" s="515"/>
      <c r="L101" s="820"/>
    </row>
    <row r="102" spans="1:12" ht="15" customHeight="1">
      <c r="A102" s="515"/>
      <c r="B102" s="515"/>
      <c r="C102" s="515"/>
      <c r="D102" s="820"/>
      <c r="E102" s="515"/>
      <c r="F102" s="515"/>
      <c r="G102" s="515"/>
      <c r="H102" s="820"/>
      <c r="I102" s="515"/>
      <c r="J102" s="515"/>
      <c r="K102" s="515"/>
      <c r="L102" s="820"/>
    </row>
    <row r="103" spans="1:12" ht="15" customHeight="1">
      <c r="A103" s="515"/>
      <c r="B103" s="515"/>
      <c r="C103" s="515"/>
      <c r="D103" s="820"/>
      <c r="E103" s="515"/>
      <c r="F103" s="515"/>
      <c r="G103" s="515"/>
      <c r="H103" s="820"/>
      <c r="I103" s="515"/>
      <c r="J103" s="515"/>
      <c r="K103" s="515"/>
      <c r="L103" s="820"/>
    </row>
    <row r="104" spans="1:12" ht="15" customHeight="1">
      <c r="A104" s="515"/>
      <c r="B104" s="515"/>
      <c r="C104" s="515"/>
      <c r="D104" s="820"/>
      <c r="E104" s="515"/>
      <c r="F104" s="515"/>
      <c r="G104" s="515"/>
      <c r="H104" s="820"/>
      <c r="I104" s="515"/>
      <c r="J104" s="515"/>
      <c r="K104" s="515"/>
      <c r="L104" s="820"/>
    </row>
    <row r="105" spans="1:12" ht="15" customHeight="1">
      <c r="A105" s="515"/>
      <c r="B105" s="515"/>
      <c r="C105" s="515"/>
      <c r="D105" s="820"/>
      <c r="E105" s="515"/>
      <c r="F105" s="515"/>
      <c r="G105" s="515"/>
      <c r="H105" s="820"/>
      <c r="I105" s="515"/>
      <c r="J105" s="515"/>
      <c r="K105" s="515"/>
      <c r="L105" s="820"/>
    </row>
    <row r="106" spans="1:12" ht="15" customHeight="1">
      <c r="A106" s="515"/>
      <c r="B106" s="515"/>
      <c r="C106" s="515"/>
      <c r="D106" s="820"/>
      <c r="E106" s="515"/>
      <c r="F106" s="515"/>
      <c r="G106" s="515"/>
      <c r="H106" s="820"/>
      <c r="I106" s="515"/>
      <c r="J106" s="515"/>
      <c r="K106" s="515"/>
      <c r="L106" s="820"/>
    </row>
    <row r="107" spans="1:12" ht="15" customHeight="1">
      <c r="A107" s="515"/>
      <c r="B107" s="515"/>
      <c r="C107" s="515"/>
      <c r="D107" s="820"/>
      <c r="E107" s="515"/>
      <c r="F107" s="515"/>
      <c r="G107" s="515"/>
      <c r="H107" s="820"/>
      <c r="I107" s="515"/>
      <c r="J107" s="515"/>
      <c r="K107" s="515"/>
      <c r="L107" s="820"/>
    </row>
    <row r="108" spans="1:12" ht="15" customHeight="1">
      <c r="A108" s="515"/>
      <c r="B108" s="515"/>
      <c r="C108" s="515"/>
      <c r="D108" s="820"/>
      <c r="E108" s="515"/>
      <c r="F108" s="515"/>
      <c r="G108" s="515"/>
      <c r="H108" s="820"/>
      <c r="I108" s="515"/>
      <c r="J108" s="515"/>
      <c r="K108" s="515"/>
      <c r="L108" s="820"/>
    </row>
    <row r="109" spans="1:12" ht="15" customHeight="1">
      <c r="A109" s="515"/>
      <c r="B109" s="515"/>
      <c r="C109" s="515"/>
      <c r="D109" s="820"/>
      <c r="E109" s="515"/>
      <c r="F109" s="515"/>
      <c r="G109" s="515"/>
      <c r="H109" s="820"/>
      <c r="I109" s="515"/>
      <c r="J109" s="515"/>
      <c r="K109" s="515"/>
      <c r="L109" s="820"/>
    </row>
    <row r="110" spans="1:12" ht="15" customHeight="1">
      <c r="A110" s="515"/>
      <c r="B110" s="515"/>
      <c r="C110" s="515"/>
      <c r="D110" s="820"/>
      <c r="E110" s="515"/>
      <c r="F110" s="515"/>
      <c r="G110" s="515"/>
      <c r="H110" s="820"/>
      <c r="I110" s="515"/>
      <c r="J110" s="515"/>
      <c r="K110" s="515"/>
      <c r="L110" s="820"/>
    </row>
    <row r="111" spans="1:12" ht="15" customHeight="1">
      <c r="A111" s="515"/>
      <c r="B111" s="515"/>
      <c r="C111" s="515"/>
      <c r="D111" s="820"/>
      <c r="E111" s="515"/>
      <c r="F111" s="515"/>
      <c r="G111" s="515"/>
      <c r="H111" s="820"/>
      <c r="I111" s="515"/>
      <c r="J111" s="515"/>
      <c r="K111" s="515"/>
      <c r="L111" s="820"/>
    </row>
    <row r="112" spans="1:12" ht="15" customHeight="1">
      <c r="A112" s="515"/>
      <c r="B112" s="515"/>
      <c r="C112" s="515"/>
      <c r="D112" s="820"/>
      <c r="E112" s="515"/>
      <c r="F112" s="515"/>
      <c r="G112" s="515"/>
      <c r="H112" s="820"/>
      <c r="I112" s="515"/>
      <c r="J112" s="515"/>
      <c r="K112" s="515"/>
      <c r="L112" s="820"/>
    </row>
    <row r="113" spans="1:12" ht="15" customHeight="1">
      <c r="A113" s="515"/>
      <c r="B113" s="515"/>
      <c r="C113" s="515"/>
      <c r="D113" s="820"/>
      <c r="E113" s="515"/>
      <c r="F113" s="515"/>
      <c r="G113" s="515"/>
      <c r="H113" s="820"/>
      <c r="I113" s="515"/>
      <c r="J113" s="515"/>
      <c r="K113" s="515"/>
      <c r="L113" s="820"/>
    </row>
    <row r="114" spans="1:12" ht="15" customHeight="1">
      <c r="A114" s="515"/>
      <c r="B114" s="515"/>
      <c r="C114" s="515"/>
      <c r="D114" s="820"/>
      <c r="E114" s="515"/>
      <c r="F114" s="515"/>
      <c r="G114" s="515"/>
      <c r="H114" s="820"/>
      <c r="I114" s="515"/>
      <c r="J114" s="515"/>
      <c r="K114" s="515"/>
      <c r="L114" s="820"/>
    </row>
    <row r="115" spans="1:12" ht="15" customHeight="1">
      <c r="A115" s="515"/>
      <c r="B115" s="515"/>
      <c r="C115" s="515"/>
      <c r="D115" s="820"/>
      <c r="E115" s="515"/>
      <c r="F115" s="515"/>
      <c r="G115" s="515"/>
      <c r="H115" s="820"/>
      <c r="I115" s="515"/>
      <c r="J115" s="515"/>
      <c r="K115" s="515"/>
      <c r="L115" s="820"/>
    </row>
    <row r="116" spans="1:12" ht="15" customHeight="1">
      <c r="A116" s="515"/>
      <c r="B116" s="515"/>
      <c r="C116" s="515"/>
      <c r="D116" s="820"/>
      <c r="E116" s="515"/>
      <c r="F116" s="515"/>
      <c r="G116" s="515"/>
      <c r="H116" s="820"/>
      <c r="I116" s="515"/>
      <c r="J116" s="515"/>
      <c r="K116" s="515"/>
      <c r="L116" s="820"/>
    </row>
    <row r="117" spans="1:12" ht="15" customHeight="1">
      <c r="A117" s="515"/>
      <c r="B117" s="515"/>
      <c r="C117" s="515"/>
      <c r="D117" s="820"/>
      <c r="E117" s="515"/>
      <c r="F117" s="515"/>
      <c r="G117" s="515"/>
      <c r="H117" s="820"/>
      <c r="I117" s="515"/>
      <c r="J117" s="515"/>
      <c r="K117" s="515"/>
      <c r="L117" s="820"/>
    </row>
    <row r="118" spans="1:12" ht="15" customHeight="1">
      <c r="A118" s="515"/>
      <c r="B118" s="515"/>
      <c r="C118" s="515"/>
      <c r="D118" s="820"/>
      <c r="E118" s="515"/>
      <c r="F118" s="515"/>
      <c r="G118" s="515"/>
      <c r="H118" s="820"/>
      <c r="I118" s="515"/>
      <c r="J118" s="515"/>
      <c r="K118" s="515"/>
      <c r="L118" s="820"/>
    </row>
    <row r="119" spans="1:12" ht="15" customHeight="1">
      <c r="A119" s="515"/>
      <c r="B119" s="515"/>
      <c r="C119" s="515"/>
      <c r="D119" s="820"/>
      <c r="E119" s="515"/>
      <c r="F119" s="515"/>
      <c r="G119" s="515"/>
      <c r="H119" s="820"/>
      <c r="I119" s="515"/>
      <c r="J119" s="515"/>
      <c r="K119" s="515"/>
      <c r="L119" s="820"/>
    </row>
    <row r="120" spans="1:12" ht="15" customHeight="1">
      <c r="A120" s="515"/>
      <c r="B120" s="515"/>
      <c r="C120" s="515"/>
      <c r="D120" s="820"/>
      <c r="E120" s="515"/>
      <c r="F120" s="515"/>
      <c r="G120" s="515"/>
      <c r="H120" s="820"/>
      <c r="I120" s="515"/>
      <c r="J120" s="515"/>
      <c r="K120" s="515"/>
      <c r="L120" s="820"/>
    </row>
    <row r="121" spans="1:12" ht="15" customHeight="1">
      <c r="A121" s="515"/>
      <c r="B121" s="515"/>
      <c r="C121" s="515"/>
      <c r="D121" s="820"/>
      <c r="E121" s="515"/>
      <c r="F121" s="515"/>
      <c r="G121" s="515"/>
      <c r="H121" s="820"/>
      <c r="I121" s="515"/>
      <c r="J121" s="515"/>
      <c r="K121" s="515"/>
      <c r="L121" s="820"/>
    </row>
    <row r="122" spans="1:12" ht="15" customHeight="1">
      <c r="A122" s="515"/>
      <c r="B122" s="515"/>
      <c r="C122" s="515"/>
      <c r="D122" s="820"/>
      <c r="E122" s="515"/>
      <c r="F122" s="515"/>
      <c r="G122" s="515"/>
      <c r="H122" s="820"/>
      <c r="I122" s="515"/>
      <c r="J122" s="515"/>
      <c r="K122" s="515"/>
      <c r="L122" s="820"/>
    </row>
    <row r="123" spans="1:12" ht="15" customHeight="1">
      <c r="A123" s="515"/>
      <c r="B123" s="515"/>
      <c r="C123" s="515"/>
      <c r="D123" s="820"/>
      <c r="E123" s="515"/>
      <c r="F123" s="515"/>
      <c r="G123" s="515"/>
      <c r="H123" s="820"/>
      <c r="I123" s="515"/>
      <c r="J123" s="515"/>
      <c r="K123" s="515"/>
      <c r="L123" s="820"/>
    </row>
    <row r="124" spans="1:12" ht="15" customHeight="1">
      <c r="A124" s="515"/>
      <c r="B124" s="515"/>
      <c r="C124" s="515"/>
      <c r="D124" s="820"/>
      <c r="E124" s="515"/>
      <c r="F124" s="515"/>
      <c r="G124" s="515"/>
      <c r="H124" s="820"/>
      <c r="I124" s="515"/>
      <c r="J124" s="515"/>
      <c r="K124" s="515"/>
      <c r="L124" s="820"/>
    </row>
    <row r="125" spans="1:12" ht="15" customHeight="1">
      <c r="A125" s="515"/>
      <c r="B125" s="515"/>
      <c r="C125" s="515"/>
      <c r="D125" s="820"/>
      <c r="E125" s="515"/>
      <c r="F125" s="515"/>
      <c r="G125" s="515"/>
      <c r="H125" s="820"/>
      <c r="I125" s="515"/>
      <c r="J125" s="515"/>
      <c r="K125" s="515"/>
      <c r="L125" s="820"/>
    </row>
    <row r="126" spans="1:12" ht="15" customHeight="1">
      <c r="A126" s="515"/>
      <c r="B126" s="515"/>
      <c r="C126" s="515"/>
      <c r="D126" s="820"/>
      <c r="E126" s="515"/>
      <c r="F126" s="515"/>
      <c r="G126" s="515"/>
      <c r="H126" s="820"/>
      <c r="I126" s="515"/>
      <c r="J126" s="515"/>
      <c r="K126" s="515"/>
      <c r="L126" s="820"/>
    </row>
    <row r="127" spans="1:12" ht="15" customHeight="1">
      <c r="A127" s="515"/>
      <c r="B127" s="515"/>
      <c r="C127" s="515"/>
      <c r="D127" s="820"/>
      <c r="E127" s="515"/>
      <c r="F127" s="515"/>
      <c r="G127" s="515"/>
      <c r="H127" s="820"/>
      <c r="I127" s="515"/>
      <c r="J127" s="515"/>
      <c r="K127" s="515"/>
      <c r="L127" s="820"/>
    </row>
    <row r="128" spans="1:12" ht="15" customHeight="1">
      <c r="A128" s="515"/>
      <c r="B128" s="515"/>
      <c r="C128" s="515"/>
      <c r="D128" s="820"/>
      <c r="E128" s="515"/>
      <c r="F128" s="515"/>
      <c r="G128" s="515"/>
      <c r="H128" s="820"/>
      <c r="I128" s="515"/>
      <c r="J128" s="515"/>
      <c r="K128" s="515"/>
      <c r="L128" s="820"/>
    </row>
    <row r="129" spans="1:12" ht="15" customHeight="1">
      <c r="A129" s="515"/>
      <c r="B129" s="515"/>
      <c r="C129" s="515"/>
      <c r="D129" s="820"/>
      <c r="E129" s="515"/>
      <c r="F129" s="515"/>
      <c r="G129" s="515"/>
      <c r="H129" s="820"/>
      <c r="I129" s="515"/>
      <c r="J129" s="515"/>
      <c r="K129" s="515"/>
      <c r="L129" s="820"/>
    </row>
    <row r="130" spans="1:12" ht="15" customHeight="1">
      <c r="A130" s="515"/>
      <c r="B130" s="515"/>
      <c r="C130" s="515"/>
      <c r="D130" s="820"/>
      <c r="E130" s="515"/>
      <c r="F130" s="515"/>
      <c r="G130" s="515"/>
      <c r="H130" s="820"/>
      <c r="I130" s="515"/>
      <c r="J130" s="515"/>
      <c r="K130" s="515"/>
      <c r="L130" s="820"/>
    </row>
    <row r="131" spans="1:12" ht="15" customHeight="1">
      <c r="A131" s="515"/>
      <c r="B131" s="515"/>
      <c r="C131" s="515"/>
      <c r="D131" s="820"/>
      <c r="E131" s="515"/>
      <c r="F131" s="515"/>
      <c r="G131" s="515"/>
      <c r="H131" s="820"/>
      <c r="I131" s="515"/>
      <c r="J131" s="515"/>
      <c r="K131" s="515"/>
      <c r="L131" s="820"/>
    </row>
    <row r="132" spans="1:12" ht="15" customHeight="1">
      <c r="A132" s="515"/>
      <c r="B132" s="515"/>
      <c r="C132" s="515"/>
      <c r="D132" s="820"/>
      <c r="E132" s="515"/>
      <c r="F132" s="515"/>
      <c r="G132" s="515"/>
      <c r="H132" s="820"/>
      <c r="I132" s="515"/>
      <c r="J132" s="515"/>
      <c r="K132" s="515"/>
      <c r="L132" s="820"/>
    </row>
    <row r="133" spans="1:12" ht="15" customHeight="1">
      <c r="A133" s="515"/>
      <c r="B133" s="515"/>
      <c r="C133" s="515"/>
      <c r="D133" s="820"/>
      <c r="E133" s="515"/>
      <c r="F133" s="515"/>
      <c r="G133" s="515"/>
      <c r="H133" s="820"/>
      <c r="I133" s="515"/>
      <c r="J133" s="515"/>
      <c r="K133" s="515"/>
      <c r="L133" s="820"/>
    </row>
    <row r="134" spans="1:12" ht="15" customHeight="1">
      <c r="A134" s="515"/>
      <c r="B134" s="515"/>
      <c r="C134" s="515"/>
      <c r="D134" s="820"/>
      <c r="E134" s="515"/>
      <c r="F134" s="515"/>
      <c r="G134" s="515"/>
      <c r="H134" s="820"/>
      <c r="I134" s="515"/>
      <c r="J134" s="515"/>
      <c r="K134" s="515"/>
      <c r="L134" s="820"/>
    </row>
    <row r="135" spans="1:12" ht="15" customHeight="1">
      <c r="A135" s="515"/>
      <c r="B135" s="515"/>
      <c r="C135" s="515"/>
      <c r="D135" s="820"/>
      <c r="E135" s="515"/>
      <c r="F135" s="515"/>
      <c r="G135" s="515"/>
      <c r="H135" s="820"/>
      <c r="I135" s="515"/>
      <c r="J135" s="515"/>
      <c r="K135" s="515"/>
      <c r="L135" s="820"/>
    </row>
    <row r="136" spans="1:12" ht="15" customHeight="1">
      <c r="A136" s="515"/>
      <c r="B136" s="515"/>
      <c r="C136" s="515"/>
      <c r="D136" s="820"/>
      <c r="E136" s="515"/>
      <c r="F136" s="515"/>
      <c r="G136" s="515"/>
      <c r="H136" s="820"/>
      <c r="I136" s="515"/>
      <c r="J136" s="515"/>
      <c r="K136" s="515"/>
      <c r="L136" s="820"/>
    </row>
    <row r="137" spans="1:12" ht="15" customHeight="1">
      <c r="A137" s="515"/>
      <c r="B137" s="515"/>
      <c r="C137" s="515"/>
      <c r="D137" s="820"/>
      <c r="E137" s="515"/>
      <c r="F137" s="515"/>
      <c r="G137" s="515"/>
      <c r="H137" s="820"/>
      <c r="I137" s="515"/>
      <c r="J137" s="515"/>
      <c r="K137" s="515"/>
      <c r="L137" s="820"/>
    </row>
    <row r="138" spans="1:12" ht="15" customHeight="1">
      <c r="A138" s="515"/>
      <c r="B138" s="515"/>
      <c r="C138" s="515"/>
      <c r="D138" s="820"/>
      <c r="E138" s="515"/>
      <c r="F138" s="515"/>
      <c r="G138" s="515"/>
      <c r="H138" s="820"/>
      <c r="I138" s="515"/>
      <c r="J138" s="515"/>
      <c r="K138" s="515"/>
      <c r="L138" s="820"/>
    </row>
    <row r="139" spans="1:12" ht="15" customHeight="1">
      <c r="A139" s="515"/>
      <c r="B139" s="515"/>
      <c r="C139" s="515"/>
      <c r="D139" s="820"/>
      <c r="E139" s="515"/>
      <c r="F139" s="515"/>
      <c r="G139" s="515"/>
      <c r="H139" s="820"/>
      <c r="I139" s="515"/>
      <c r="J139" s="515"/>
      <c r="K139" s="515"/>
      <c r="L139" s="820"/>
    </row>
    <row r="140" spans="1:12" ht="15" customHeight="1">
      <c r="A140" s="515"/>
      <c r="B140" s="515"/>
      <c r="C140" s="515"/>
      <c r="D140" s="820"/>
      <c r="E140" s="515"/>
      <c r="F140" s="515"/>
      <c r="G140" s="515"/>
      <c r="H140" s="820"/>
      <c r="I140" s="515"/>
      <c r="J140" s="515"/>
      <c r="K140" s="515"/>
      <c r="L140" s="820"/>
    </row>
    <row r="141" spans="1:12" ht="15" customHeight="1">
      <c r="A141" s="515"/>
      <c r="B141" s="515"/>
      <c r="C141" s="515"/>
      <c r="D141" s="820"/>
      <c r="E141" s="515"/>
      <c r="F141" s="515"/>
      <c r="G141" s="515"/>
      <c r="H141" s="820"/>
      <c r="I141" s="515"/>
      <c r="J141" s="515"/>
      <c r="K141" s="515"/>
      <c r="L141" s="820"/>
    </row>
    <row r="142" spans="1:12" ht="15" customHeight="1">
      <c r="A142" s="515"/>
      <c r="B142" s="515"/>
      <c r="C142" s="515"/>
      <c r="D142" s="820"/>
      <c r="E142" s="515"/>
      <c r="F142" s="515"/>
      <c r="G142" s="515"/>
      <c r="H142" s="820"/>
      <c r="I142" s="515"/>
      <c r="J142" s="515"/>
      <c r="K142" s="515"/>
      <c r="L142" s="820"/>
    </row>
    <row r="143" spans="1:12" ht="15" customHeight="1">
      <c r="A143" s="515"/>
      <c r="B143" s="515"/>
      <c r="C143" s="515"/>
      <c r="D143" s="820"/>
      <c r="E143" s="515"/>
      <c r="F143" s="515"/>
      <c r="G143" s="515"/>
      <c r="H143" s="820"/>
      <c r="I143" s="515"/>
      <c r="J143" s="515"/>
      <c r="K143" s="515"/>
      <c r="L143" s="820"/>
    </row>
    <row r="144" spans="1:12" ht="15" customHeight="1">
      <c r="A144" s="515"/>
      <c r="B144" s="515"/>
      <c r="C144" s="515"/>
      <c r="D144" s="820"/>
      <c r="E144" s="515"/>
      <c r="F144" s="515"/>
      <c r="G144" s="515"/>
      <c r="H144" s="820"/>
      <c r="I144" s="515"/>
      <c r="J144" s="515"/>
      <c r="K144" s="515"/>
      <c r="L144" s="820"/>
    </row>
    <row r="145" spans="1:12" ht="15" customHeight="1">
      <c r="A145" s="515"/>
      <c r="B145" s="515"/>
      <c r="C145" s="515"/>
      <c r="D145" s="820"/>
      <c r="E145" s="515"/>
      <c r="F145" s="515"/>
      <c r="G145" s="515"/>
      <c r="H145" s="820"/>
      <c r="I145" s="515"/>
      <c r="J145" s="515"/>
      <c r="K145" s="515"/>
      <c r="L145" s="820"/>
    </row>
    <row r="146" spans="1:12" ht="15" customHeight="1">
      <c r="A146" s="515"/>
      <c r="B146" s="515"/>
      <c r="C146" s="515"/>
      <c r="D146" s="820"/>
      <c r="E146" s="515"/>
      <c r="F146" s="515"/>
      <c r="G146" s="515"/>
      <c r="H146" s="820"/>
      <c r="I146" s="515"/>
      <c r="J146" s="515"/>
      <c r="K146" s="515"/>
      <c r="L146" s="820"/>
    </row>
    <row r="147" spans="1:12" ht="15" customHeight="1">
      <c r="A147" s="515"/>
      <c r="B147" s="515"/>
      <c r="C147" s="515"/>
      <c r="D147" s="820"/>
      <c r="E147" s="515"/>
      <c r="F147" s="515"/>
      <c r="G147" s="515"/>
      <c r="H147" s="820"/>
      <c r="I147" s="515"/>
      <c r="J147" s="515"/>
      <c r="K147" s="515"/>
      <c r="L147" s="820"/>
    </row>
    <row r="148" spans="1:12" ht="15" customHeight="1">
      <c r="A148" s="515"/>
      <c r="B148" s="515"/>
      <c r="C148" s="515"/>
      <c r="D148" s="820"/>
      <c r="E148" s="515"/>
      <c r="F148" s="515"/>
      <c r="G148" s="515"/>
      <c r="H148" s="820"/>
      <c r="I148" s="515"/>
      <c r="J148" s="515"/>
      <c r="K148" s="515"/>
      <c r="L148" s="820"/>
    </row>
    <row r="149" spans="1:12" ht="15" customHeight="1">
      <c r="A149" s="515"/>
      <c r="B149" s="515"/>
      <c r="C149" s="515"/>
      <c r="D149" s="820"/>
      <c r="E149" s="515"/>
      <c r="F149" s="515"/>
      <c r="G149" s="515"/>
      <c r="H149" s="820"/>
      <c r="I149" s="515"/>
      <c r="J149" s="515"/>
      <c r="K149" s="515"/>
      <c r="L149" s="820"/>
    </row>
    <row r="150" spans="1:12" ht="15" customHeight="1">
      <c r="A150" s="515"/>
      <c r="B150" s="515"/>
      <c r="C150" s="515"/>
      <c r="D150" s="820"/>
      <c r="E150" s="515"/>
      <c r="F150" s="515"/>
      <c r="G150" s="515"/>
      <c r="H150" s="820"/>
      <c r="I150" s="515"/>
      <c r="J150" s="515"/>
      <c r="K150" s="515"/>
      <c r="L150" s="820"/>
    </row>
    <row r="151" spans="1:12" ht="15" customHeight="1">
      <c r="A151" s="515"/>
      <c r="B151" s="515"/>
      <c r="C151" s="515"/>
      <c r="D151" s="820"/>
      <c r="E151" s="515"/>
      <c r="F151" s="515"/>
      <c r="G151" s="515"/>
      <c r="H151" s="820"/>
      <c r="I151" s="515"/>
      <c r="J151" s="515"/>
      <c r="K151" s="515"/>
      <c r="L151" s="820"/>
    </row>
    <row r="152" spans="1:12" ht="15" customHeight="1">
      <c r="A152" s="515"/>
      <c r="B152" s="515"/>
      <c r="C152" s="515"/>
      <c r="D152" s="820"/>
      <c r="E152" s="515"/>
      <c r="F152" s="515"/>
      <c r="G152" s="515"/>
      <c r="H152" s="820"/>
      <c r="I152" s="515"/>
      <c r="J152" s="515"/>
      <c r="K152" s="515"/>
      <c r="L152" s="820"/>
    </row>
    <row r="153" spans="1:12" ht="15" customHeight="1">
      <c r="A153" s="515"/>
      <c r="B153" s="515"/>
      <c r="C153" s="515"/>
      <c r="D153" s="820"/>
      <c r="E153" s="515"/>
      <c r="F153" s="515"/>
      <c r="G153" s="515"/>
      <c r="H153" s="820"/>
      <c r="I153" s="515"/>
      <c r="J153" s="515"/>
      <c r="K153" s="515"/>
      <c r="L153" s="820"/>
    </row>
    <row r="154" spans="1:12" ht="15" customHeight="1">
      <c r="A154" s="515"/>
      <c r="B154" s="515"/>
      <c r="C154" s="515"/>
      <c r="D154" s="820"/>
      <c r="E154" s="515"/>
      <c r="F154" s="515"/>
      <c r="G154" s="515"/>
      <c r="H154" s="820"/>
      <c r="I154" s="515"/>
      <c r="J154" s="515"/>
      <c r="K154" s="515"/>
      <c r="L154" s="820"/>
    </row>
    <row r="155" spans="1:12" ht="15" customHeight="1">
      <c r="A155" s="515"/>
      <c r="B155" s="515"/>
      <c r="C155" s="515"/>
      <c r="D155" s="820"/>
      <c r="E155" s="515"/>
      <c r="F155" s="515"/>
      <c r="G155" s="515"/>
      <c r="H155" s="820"/>
      <c r="I155" s="515"/>
      <c r="J155" s="515"/>
      <c r="K155" s="515"/>
      <c r="L155" s="820"/>
    </row>
    <row r="156" spans="1:12" ht="15" customHeight="1">
      <c r="A156" s="515"/>
      <c r="B156" s="515"/>
      <c r="C156" s="515"/>
      <c r="D156" s="820"/>
      <c r="E156" s="515"/>
      <c r="F156" s="515"/>
      <c r="G156" s="515"/>
      <c r="H156" s="820"/>
      <c r="I156" s="515"/>
      <c r="J156" s="515"/>
      <c r="K156" s="515"/>
      <c r="L156" s="820"/>
    </row>
    <row r="157" spans="1:12" ht="15" customHeight="1">
      <c r="A157" s="515"/>
      <c r="B157" s="515"/>
      <c r="C157" s="515"/>
      <c r="D157" s="820"/>
      <c r="E157" s="515"/>
      <c r="F157" s="515"/>
      <c r="G157" s="515"/>
      <c r="H157" s="820"/>
      <c r="I157" s="515"/>
      <c r="J157" s="515"/>
      <c r="K157" s="515"/>
      <c r="L157" s="820"/>
    </row>
    <row r="158" spans="1:12" ht="15" customHeight="1">
      <c r="A158" s="515"/>
      <c r="B158" s="515"/>
      <c r="C158" s="515"/>
      <c r="D158" s="820"/>
      <c r="E158" s="515"/>
      <c r="F158" s="515"/>
      <c r="G158" s="515"/>
      <c r="H158" s="820"/>
      <c r="I158" s="515"/>
      <c r="J158" s="515"/>
      <c r="K158" s="515"/>
      <c r="L158" s="820"/>
    </row>
    <row r="159" spans="1:12" ht="15" customHeight="1">
      <c r="A159" s="515"/>
      <c r="B159" s="515"/>
      <c r="C159" s="515"/>
      <c r="D159" s="820"/>
      <c r="E159" s="515"/>
      <c r="F159" s="515"/>
      <c r="G159" s="515"/>
      <c r="H159" s="820"/>
      <c r="I159" s="515"/>
      <c r="J159" s="515"/>
      <c r="K159" s="515"/>
      <c r="L159" s="820"/>
    </row>
    <row r="160" spans="1:12" ht="15" customHeight="1">
      <c r="A160" s="515"/>
      <c r="B160" s="515"/>
      <c r="C160" s="515"/>
      <c r="D160" s="820"/>
      <c r="E160" s="515"/>
      <c r="F160" s="515"/>
      <c r="G160" s="515"/>
      <c r="H160" s="820"/>
      <c r="I160" s="515"/>
      <c r="J160" s="515"/>
      <c r="K160" s="515"/>
      <c r="L160" s="820"/>
    </row>
    <row r="161" spans="1:12" ht="15" customHeight="1">
      <c r="A161" s="515"/>
      <c r="B161" s="515"/>
      <c r="C161" s="515"/>
      <c r="D161" s="820"/>
      <c r="E161" s="515"/>
      <c r="F161" s="515"/>
      <c r="G161" s="515"/>
      <c r="H161" s="820"/>
      <c r="I161" s="515"/>
      <c r="J161" s="515"/>
      <c r="K161" s="515"/>
      <c r="L161" s="820"/>
    </row>
    <row r="162" spans="1:12" ht="15" customHeight="1">
      <c r="A162" s="515"/>
      <c r="B162" s="515"/>
      <c r="C162" s="515"/>
      <c r="D162" s="820"/>
      <c r="E162" s="515"/>
      <c r="F162" s="515"/>
      <c r="G162" s="515"/>
      <c r="H162" s="820"/>
      <c r="I162" s="515"/>
      <c r="J162" s="515"/>
      <c r="K162" s="515"/>
      <c r="L162" s="820"/>
    </row>
    <row r="163" spans="1:12" ht="15" customHeight="1">
      <c r="A163" s="515"/>
      <c r="B163" s="515"/>
      <c r="C163" s="515"/>
      <c r="D163" s="820"/>
      <c r="E163" s="515"/>
      <c r="F163" s="515"/>
      <c r="G163" s="515"/>
      <c r="H163" s="820"/>
      <c r="I163" s="515"/>
      <c r="J163" s="515"/>
      <c r="K163" s="515"/>
      <c r="L163" s="820"/>
    </row>
    <row r="164" spans="1:12" ht="15" customHeight="1">
      <c r="A164" s="515"/>
      <c r="B164" s="515"/>
      <c r="C164" s="515"/>
      <c r="D164" s="820"/>
      <c r="E164" s="515"/>
      <c r="F164" s="515"/>
      <c r="G164" s="515"/>
      <c r="H164" s="820"/>
      <c r="I164" s="515"/>
      <c r="J164" s="515"/>
      <c r="K164" s="515"/>
      <c r="L164" s="820"/>
    </row>
    <row r="165" spans="1:12" ht="15" customHeight="1">
      <c r="A165" s="515"/>
      <c r="B165" s="515"/>
      <c r="C165" s="515"/>
      <c r="D165" s="820"/>
      <c r="E165" s="515"/>
      <c r="F165" s="515"/>
      <c r="G165" s="515"/>
      <c r="H165" s="820"/>
      <c r="I165" s="515"/>
      <c r="J165" s="515"/>
      <c r="K165" s="515"/>
      <c r="L165" s="820"/>
    </row>
    <row r="166" spans="1:12" ht="15" customHeight="1">
      <c r="A166" s="515"/>
      <c r="B166" s="515"/>
      <c r="C166" s="515"/>
      <c r="D166" s="820"/>
      <c r="E166" s="515"/>
      <c r="F166" s="515"/>
      <c r="G166" s="515"/>
      <c r="H166" s="820"/>
      <c r="I166" s="515"/>
      <c r="J166" s="515"/>
      <c r="K166" s="515"/>
      <c r="L166" s="820"/>
    </row>
    <row r="167" spans="1:12" ht="15" customHeight="1">
      <c r="A167" s="515"/>
      <c r="B167" s="515"/>
      <c r="C167" s="515"/>
      <c r="D167" s="820"/>
      <c r="E167" s="515"/>
      <c r="F167" s="515"/>
      <c r="G167" s="515"/>
      <c r="H167" s="820"/>
      <c r="I167" s="515"/>
      <c r="J167" s="515"/>
      <c r="K167" s="515"/>
      <c r="L167" s="820"/>
    </row>
    <row r="168" spans="1:12" ht="15" customHeight="1">
      <c r="A168" s="515"/>
      <c r="B168" s="515"/>
      <c r="C168" s="515"/>
      <c r="D168" s="820"/>
      <c r="E168" s="515"/>
      <c r="F168" s="515"/>
      <c r="G168" s="515"/>
      <c r="H168" s="820"/>
      <c r="I168" s="515"/>
      <c r="J168" s="515"/>
      <c r="K168" s="515"/>
      <c r="L168" s="820"/>
    </row>
    <row r="169" spans="1:12" ht="15" customHeight="1">
      <c r="A169" s="515"/>
      <c r="B169" s="515"/>
      <c r="C169" s="515"/>
      <c r="D169" s="820"/>
      <c r="E169" s="515"/>
      <c r="F169" s="515"/>
      <c r="G169" s="515"/>
      <c r="H169" s="820"/>
      <c r="I169" s="515"/>
      <c r="J169" s="515"/>
      <c r="K169" s="515"/>
      <c r="L169" s="820"/>
    </row>
    <row r="170" spans="1:12" ht="15" customHeight="1">
      <c r="A170" s="515"/>
      <c r="B170" s="515"/>
      <c r="C170" s="515"/>
      <c r="D170" s="820"/>
      <c r="E170" s="515"/>
      <c r="F170" s="515"/>
      <c r="G170" s="515"/>
      <c r="H170" s="820"/>
      <c r="I170" s="515"/>
      <c r="J170" s="515"/>
      <c r="K170" s="515"/>
      <c r="L170" s="820"/>
    </row>
    <row r="171" spans="1:12" ht="15" customHeight="1">
      <c r="A171" s="515"/>
      <c r="B171" s="515"/>
      <c r="C171" s="515"/>
      <c r="D171" s="820"/>
      <c r="E171" s="515"/>
      <c r="F171" s="515"/>
      <c r="G171" s="515"/>
      <c r="H171" s="820"/>
      <c r="I171" s="515"/>
      <c r="J171" s="515"/>
      <c r="K171" s="515"/>
      <c r="L171" s="820"/>
    </row>
    <row r="172" spans="1:12" ht="15" customHeight="1">
      <c r="A172" s="515"/>
      <c r="B172" s="515"/>
      <c r="C172" s="515"/>
      <c r="D172" s="820"/>
      <c r="E172" s="515"/>
      <c r="F172" s="515"/>
      <c r="G172" s="515"/>
      <c r="H172" s="820"/>
      <c r="I172" s="515"/>
      <c r="J172" s="515"/>
      <c r="K172" s="515"/>
      <c r="L172" s="820"/>
    </row>
    <row r="173" spans="1:12" ht="15" customHeight="1">
      <c r="A173" s="515"/>
      <c r="B173" s="515"/>
      <c r="C173" s="515"/>
      <c r="D173" s="820"/>
      <c r="E173" s="515"/>
      <c r="F173" s="515"/>
      <c r="G173" s="515"/>
      <c r="H173" s="820"/>
      <c r="I173" s="515"/>
      <c r="J173" s="515"/>
      <c r="K173" s="515"/>
      <c r="L173" s="820"/>
    </row>
    <row r="174" spans="1:12" ht="15" customHeight="1">
      <c r="A174" s="515"/>
      <c r="B174" s="515"/>
      <c r="C174" s="515"/>
      <c r="D174" s="820"/>
      <c r="E174" s="515"/>
      <c r="F174" s="515"/>
      <c r="G174" s="515"/>
      <c r="H174" s="820"/>
      <c r="I174" s="515"/>
      <c r="J174" s="515"/>
      <c r="K174" s="515"/>
      <c r="L174" s="820"/>
    </row>
    <row r="175" spans="1:12" ht="15" customHeight="1">
      <c r="A175" s="515"/>
      <c r="B175" s="515"/>
      <c r="C175" s="515"/>
      <c r="D175" s="820"/>
      <c r="E175" s="515"/>
      <c r="F175" s="515"/>
      <c r="G175" s="515"/>
      <c r="H175" s="820"/>
      <c r="I175" s="515"/>
      <c r="J175" s="515"/>
      <c r="K175" s="515"/>
      <c r="L175" s="820"/>
    </row>
    <row r="176" spans="1:12" ht="15" customHeight="1">
      <c r="A176" s="515"/>
      <c r="B176" s="515"/>
      <c r="C176" s="515"/>
      <c r="D176" s="820"/>
      <c r="E176" s="515"/>
      <c r="F176" s="515"/>
      <c r="G176" s="515"/>
      <c r="H176" s="820"/>
      <c r="I176" s="515"/>
      <c r="J176" s="515"/>
      <c r="K176" s="515"/>
      <c r="L176" s="820"/>
    </row>
    <row r="177" spans="1:12" ht="15" customHeight="1">
      <c r="A177" s="515"/>
      <c r="B177" s="515"/>
      <c r="C177" s="515"/>
      <c r="D177" s="820"/>
      <c r="E177" s="515"/>
      <c r="F177" s="515"/>
      <c r="G177" s="515"/>
      <c r="H177" s="820"/>
      <c r="I177" s="515"/>
      <c r="J177" s="515"/>
      <c r="K177" s="515"/>
      <c r="L177" s="820"/>
    </row>
    <row r="178" spans="1:12" ht="15" customHeight="1">
      <c r="A178" s="515"/>
      <c r="B178" s="515"/>
      <c r="C178" s="515"/>
      <c r="D178" s="820"/>
      <c r="E178" s="515"/>
      <c r="F178" s="515"/>
      <c r="G178" s="515"/>
      <c r="H178" s="820"/>
      <c r="I178" s="515"/>
      <c r="J178" s="515"/>
      <c r="K178" s="515"/>
      <c r="L178" s="820"/>
    </row>
    <row r="179" spans="1:12" ht="15" customHeight="1">
      <c r="A179" s="515"/>
      <c r="B179" s="515"/>
      <c r="C179" s="515"/>
      <c r="D179" s="820"/>
      <c r="E179" s="515"/>
      <c r="F179" s="515"/>
      <c r="G179" s="515"/>
      <c r="H179" s="820"/>
      <c r="I179" s="515"/>
      <c r="J179" s="515"/>
      <c r="K179" s="515"/>
      <c r="L179" s="820"/>
    </row>
    <row r="180" spans="1:12" ht="15" customHeight="1">
      <c r="A180" s="515"/>
      <c r="B180" s="515"/>
      <c r="C180" s="515"/>
      <c r="D180" s="820"/>
      <c r="E180" s="515"/>
      <c r="F180" s="515"/>
      <c r="G180" s="515"/>
      <c r="H180" s="820"/>
      <c r="I180" s="515"/>
      <c r="J180" s="515"/>
      <c r="K180" s="515"/>
      <c r="L180" s="820"/>
    </row>
    <row r="181" spans="1:12" ht="15" customHeight="1">
      <c r="A181" s="515"/>
      <c r="B181" s="515"/>
      <c r="C181" s="515"/>
      <c r="D181" s="820"/>
      <c r="E181" s="515"/>
      <c r="F181" s="515"/>
      <c r="G181" s="515"/>
      <c r="H181" s="820"/>
      <c r="I181" s="515"/>
      <c r="J181" s="515"/>
      <c r="K181" s="515"/>
      <c r="L181" s="820"/>
    </row>
    <row r="182" spans="1:12" ht="15" customHeight="1">
      <c r="A182" s="515"/>
      <c r="B182" s="515"/>
      <c r="C182" s="515"/>
      <c r="D182" s="820"/>
      <c r="E182" s="515"/>
      <c r="F182" s="515"/>
      <c r="G182" s="515"/>
      <c r="H182" s="820"/>
      <c r="I182" s="515"/>
      <c r="J182" s="515"/>
      <c r="K182" s="515"/>
      <c r="L182" s="820"/>
    </row>
    <row r="183" spans="1:12" ht="15" customHeight="1">
      <c r="A183" s="515"/>
      <c r="B183" s="515"/>
      <c r="C183" s="515"/>
      <c r="D183" s="820"/>
      <c r="E183" s="515"/>
      <c r="F183" s="515"/>
      <c r="G183" s="515"/>
      <c r="H183" s="820"/>
      <c r="I183" s="515"/>
      <c r="J183" s="515"/>
      <c r="K183" s="515"/>
      <c r="L183" s="820"/>
    </row>
    <row r="184" spans="1:12" ht="15" customHeight="1">
      <c r="A184" s="515"/>
      <c r="B184" s="515"/>
      <c r="C184" s="515"/>
      <c r="D184" s="820"/>
      <c r="E184" s="515"/>
      <c r="F184" s="515"/>
      <c r="G184" s="515"/>
      <c r="H184" s="820"/>
      <c r="I184" s="515"/>
      <c r="J184" s="515"/>
      <c r="K184" s="515"/>
      <c r="L184" s="820"/>
    </row>
    <row r="185" spans="1:12" ht="15" customHeight="1">
      <c r="A185" s="515"/>
      <c r="B185" s="515"/>
      <c r="C185" s="515"/>
      <c r="D185" s="820"/>
      <c r="E185" s="515"/>
      <c r="F185" s="515"/>
      <c r="G185" s="515"/>
      <c r="H185" s="820"/>
      <c r="I185" s="515"/>
      <c r="J185" s="515"/>
      <c r="K185" s="515"/>
      <c r="L185" s="820"/>
    </row>
    <row r="186" spans="1:12" ht="15" customHeight="1">
      <c r="A186" s="515"/>
      <c r="B186" s="515"/>
      <c r="C186" s="515"/>
      <c r="D186" s="820"/>
      <c r="E186" s="515"/>
      <c r="F186" s="515"/>
      <c r="G186" s="515"/>
      <c r="H186" s="820"/>
      <c r="I186" s="515"/>
      <c r="J186" s="515"/>
      <c r="K186" s="515"/>
      <c r="L186" s="820"/>
    </row>
    <row r="187" spans="1:12" ht="15" customHeight="1">
      <c r="A187" s="515"/>
      <c r="B187" s="515"/>
      <c r="C187" s="515"/>
      <c r="D187" s="820"/>
      <c r="E187" s="515"/>
      <c r="F187" s="515"/>
      <c r="G187" s="515"/>
      <c r="H187" s="820"/>
      <c r="I187" s="515"/>
      <c r="J187" s="515"/>
      <c r="K187" s="515"/>
      <c r="L187" s="820"/>
    </row>
    <row r="188" spans="1:12" ht="15" customHeight="1">
      <c r="A188" s="515"/>
      <c r="B188" s="515"/>
      <c r="C188" s="515"/>
      <c r="D188" s="820"/>
      <c r="E188" s="515"/>
      <c r="F188" s="515"/>
      <c r="G188" s="515"/>
      <c r="H188" s="820"/>
      <c r="I188" s="515"/>
      <c r="J188" s="515"/>
      <c r="K188" s="515"/>
      <c r="L188" s="820"/>
    </row>
    <row r="189" spans="1:12" ht="15" customHeight="1">
      <c r="A189" s="515"/>
      <c r="B189" s="515"/>
      <c r="C189" s="515"/>
      <c r="D189" s="820"/>
      <c r="E189" s="515"/>
      <c r="F189" s="515"/>
      <c r="G189" s="515"/>
      <c r="H189" s="820"/>
      <c r="I189" s="515"/>
      <c r="J189" s="515"/>
      <c r="K189" s="515"/>
      <c r="L189" s="820"/>
    </row>
    <row r="190" spans="1:12" ht="15" customHeight="1">
      <c r="A190" s="515"/>
      <c r="B190" s="515"/>
      <c r="C190" s="515"/>
      <c r="D190" s="820"/>
      <c r="E190" s="515"/>
      <c r="F190" s="515"/>
      <c r="G190" s="515"/>
      <c r="H190" s="820"/>
      <c r="I190" s="515"/>
      <c r="J190" s="515"/>
      <c r="K190" s="515"/>
      <c r="L190" s="820"/>
    </row>
    <row r="191" spans="1:12" ht="15" customHeight="1">
      <c r="A191" s="515"/>
      <c r="B191" s="515"/>
      <c r="C191" s="515"/>
      <c r="D191" s="820"/>
      <c r="E191" s="515"/>
      <c r="F191" s="515"/>
      <c r="G191" s="515"/>
      <c r="H191" s="820"/>
      <c r="I191" s="515"/>
      <c r="J191" s="515"/>
      <c r="K191" s="515"/>
      <c r="L191" s="820"/>
    </row>
    <row r="192" spans="1:12" ht="15" customHeight="1">
      <c r="A192" s="515"/>
      <c r="B192" s="515"/>
      <c r="C192" s="515"/>
      <c r="D192" s="820"/>
      <c r="E192" s="515"/>
      <c r="F192" s="515"/>
      <c r="G192" s="515"/>
      <c r="H192" s="820"/>
      <c r="I192" s="515"/>
      <c r="J192" s="515"/>
      <c r="K192" s="515"/>
      <c r="L192" s="820"/>
    </row>
    <row r="193" spans="1:12" ht="15" customHeight="1">
      <c r="A193" s="515"/>
      <c r="B193" s="515"/>
      <c r="C193" s="515"/>
      <c r="D193" s="820"/>
      <c r="E193" s="515"/>
      <c r="F193" s="515"/>
      <c r="G193" s="515"/>
      <c r="H193" s="820"/>
      <c r="I193" s="515"/>
      <c r="J193" s="515"/>
      <c r="K193" s="515"/>
      <c r="L193" s="820"/>
    </row>
    <row r="194" spans="1:12" ht="15" customHeight="1">
      <c r="A194" s="515"/>
      <c r="B194" s="515"/>
      <c r="C194" s="515"/>
      <c r="D194" s="820"/>
      <c r="E194" s="515"/>
      <c r="F194" s="515"/>
      <c r="G194" s="515"/>
      <c r="H194" s="820"/>
      <c r="I194" s="515"/>
      <c r="J194" s="515"/>
      <c r="K194" s="515"/>
      <c r="L194" s="820"/>
    </row>
    <row r="195" spans="1:12" ht="15" customHeight="1">
      <c r="A195" s="515"/>
      <c r="B195" s="515"/>
      <c r="C195" s="515"/>
      <c r="D195" s="820"/>
      <c r="E195" s="515"/>
      <c r="F195" s="515"/>
      <c r="G195" s="515"/>
      <c r="H195" s="820"/>
      <c r="I195" s="515"/>
      <c r="J195" s="515"/>
      <c r="K195" s="515"/>
      <c r="L195" s="820"/>
    </row>
    <row r="196" spans="1:12" ht="15" customHeight="1">
      <c r="A196" s="515"/>
      <c r="B196" s="515"/>
      <c r="C196" s="515"/>
      <c r="D196" s="820"/>
      <c r="E196" s="515"/>
      <c r="F196" s="515"/>
      <c r="G196" s="515"/>
      <c r="H196" s="820"/>
      <c r="I196" s="515"/>
      <c r="J196" s="515"/>
      <c r="K196" s="515"/>
      <c r="L196" s="820"/>
    </row>
    <row r="197" spans="1:12" ht="15" customHeight="1">
      <c r="A197" s="515"/>
      <c r="B197" s="515"/>
      <c r="C197" s="515"/>
      <c r="D197" s="820"/>
      <c r="E197" s="515"/>
      <c r="F197" s="515"/>
      <c r="G197" s="515"/>
      <c r="H197" s="820"/>
      <c r="I197" s="515"/>
      <c r="J197" s="515"/>
      <c r="K197" s="515"/>
      <c r="L197" s="820"/>
    </row>
    <row r="198" spans="1:12" ht="15" customHeight="1">
      <c r="A198" s="515"/>
      <c r="B198" s="515"/>
      <c r="C198" s="515"/>
      <c r="D198" s="820"/>
      <c r="E198" s="515"/>
      <c r="F198" s="515"/>
      <c r="G198" s="515"/>
      <c r="H198" s="820"/>
      <c r="I198" s="515"/>
      <c r="J198" s="515"/>
      <c r="K198" s="515"/>
      <c r="L198" s="820"/>
    </row>
    <row r="199" spans="1:12" ht="15" customHeight="1">
      <c r="A199" s="515"/>
      <c r="B199" s="515"/>
      <c r="C199" s="515"/>
      <c r="D199" s="820"/>
      <c r="E199" s="515"/>
      <c r="F199" s="515"/>
      <c r="G199" s="515"/>
      <c r="H199" s="820"/>
      <c r="I199" s="515"/>
      <c r="J199" s="515"/>
      <c r="K199" s="515"/>
      <c r="L199" s="820"/>
    </row>
    <row r="200" spans="1:12" ht="15" customHeight="1">
      <c r="A200" s="515"/>
      <c r="B200" s="515"/>
      <c r="C200" s="515"/>
      <c r="D200" s="820"/>
      <c r="E200" s="515"/>
      <c r="F200" s="515"/>
      <c r="G200" s="515"/>
      <c r="H200" s="820"/>
      <c r="I200" s="515"/>
      <c r="J200" s="515"/>
      <c r="K200" s="515"/>
      <c r="L200" s="820"/>
    </row>
    <row r="201" spans="1:12" ht="15" customHeight="1">
      <c r="A201" s="515"/>
      <c r="B201" s="515"/>
      <c r="C201" s="515"/>
      <c r="D201" s="820"/>
      <c r="E201" s="515"/>
      <c r="F201" s="515"/>
      <c r="G201" s="515"/>
      <c r="H201" s="820"/>
      <c r="I201" s="515"/>
      <c r="J201" s="515"/>
      <c r="K201" s="515"/>
      <c r="L201" s="820"/>
    </row>
    <row r="202" spans="1:12" ht="15" customHeight="1">
      <c r="A202" s="515"/>
      <c r="B202" s="515"/>
      <c r="C202" s="515"/>
      <c r="D202" s="820"/>
      <c r="E202" s="515"/>
      <c r="F202" s="515"/>
      <c r="G202" s="515"/>
      <c r="H202" s="820"/>
      <c r="I202" s="515"/>
      <c r="J202" s="515"/>
      <c r="K202" s="515"/>
      <c r="L202" s="820"/>
    </row>
    <row r="203" spans="1:12" ht="15" customHeight="1">
      <c r="A203" s="515"/>
      <c r="B203" s="515"/>
      <c r="C203" s="515"/>
      <c r="D203" s="820"/>
      <c r="E203" s="515"/>
      <c r="F203" s="515"/>
      <c r="G203" s="515"/>
      <c r="H203" s="820"/>
      <c r="I203" s="515"/>
      <c r="J203" s="515"/>
      <c r="K203" s="515"/>
      <c r="L203" s="820"/>
    </row>
    <row r="204" spans="1:12" ht="15" customHeight="1">
      <c r="A204" s="515"/>
      <c r="B204" s="515"/>
      <c r="C204" s="515"/>
      <c r="D204" s="820"/>
      <c r="E204" s="515"/>
      <c r="F204" s="515"/>
      <c r="G204" s="515"/>
      <c r="H204" s="820"/>
      <c r="I204" s="515"/>
      <c r="J204" s="515"/>
      <c r="K204" s="515"/>
      <c r="L204" s="820"/>
    </row>
    <row r="205" spans="1:12" ht="15" customHeight="1">
      <c r="A205" s="515"/>
      <c r="B205" s="515"/>
      <c r="C205" s="515"/>
      <c r="D205" s="820"/>
      <c r="E205" s="515"/>
      <c r="F205" s="515"/>
      <c r="G205" s="515"/>
      <c r="H205" s="820"/>
      <c r="I205" s="515"/>
      <c r="J205" s="515"/>
      <c r="K205" s="515"/>
      <c r="L205" s="820"/>
    </row>
    <row r="206" spans="1:12" ht="15" customHeight="1">
      <c r="A206" s="515"/>
      <c r="B206" s="515"/>
      <c r="C206" s="515"/>
      <c r="D206" s="820"/>
      <c r="E206" s="515"/>
      <c r="F206" s="515"/>
      <c r="G206" s="515"/>
      <c r="H206" s="820"/>
      <c r="I206" s="515"/>
      <c r="J206" s="515"/>
      <c r="K206" s="515"/>
      <c r="L206" s="820"/>
    </row>
    <row r="207" spans="1:12" ht="15" customHeight="1">
      <c r="A207" s="515"/>
      <c r="B207" s="515"/>
      <c r="C207" s="515"/>
      <c r="D207" s="820"/>
      <c r="E207" s="515"/>
      <c r="F207" s="515"/>
      <c r="G207" s="515"/>
      <c r="H207" s="820"/>
      <c r="I207" s="515"/>
      <c r="J207" s="515"/>
      <c r="K207" s="515"/>
      <c r="L207" s="820"/>
    </row>
    <row r="208" spans="1:12" ht="15" customHeight="1">
      <c r="A208" s="515"/>
      <c r="B208" s="515"/>
      <c r="C208" s="515"/>
      <c r="D208" s="820"/>
      <c r="E208" s="515"/>
      <c r="F208" s="515"/>
      <c r="G208" s="515"/>
      <c r="H208" s="820"/>
      <c r="I208" s="515"/>
      <c r="J208" s="515"/>
      <c r="K208" s="515"/>
      <c r="L208" s="820"/>
    </row>
    <row r="209" spans="1:12" ht="15" customHeight="1">
      <c r="A209" s="515"/>
      <c r="B209" s="515"/>
      <c r="C209" s="515"/>
      <c r="D209" s="820"/>
      <c r="E209" s="515"/>
      <c r="F209" s="515"/>
      <c r="G209" s="515"/>
      <c r="H209" s="820"/>
      <c r="I209" s="515"/>
      <c r="J209" s="515"/>
      <c r="K209" s="515"/>
      <c r="L209" s="820"/>
    </row>
    <row r="210" spans="1:12" ht="15" customHeight="1">
      <c r="A210" s="515"/>
      <c r="B210" s="515"/>
      <c r="C210" s="515"/>
      <c r="D210" s="820"/>
      <c r="E210" s="515"/>
      <c r="F210" s="515"/>
      <c r="G210" s="515"/>
      <c r="H210" s="820"/>
      <c r="I210" s="515"/>
      <c r="J210" s="515"/>
      <c r="K210" s="515"/>
      <c r="L210" s="820"/>
    </row>
    <row r="211" spans="1:12" ht="15" customHeight="1">
      <c r="A211" s="515"/>
      <c r="B211" s="515"/>
      <c r="C211" s="515"/>
      <c r="D211" s="820"/>
      <c r="E211" s="515"/>
      <c r="F211" s="515"/>
      <c r="G211" s="515"/>
      <c r="H211" s="820"/>
      <c r="I211" s="515"/>
      <c r="J211" s="515"/>
      <c r="K211" s="515"/>
      <c r="L211" s="820"/>
    </row>
    <row r="212" spans="1:12" ht="15" customHeight="1">
      <c r="A212" s="515"/>
      <c r="B212" s="515"/>
      <c r="C212" s="515"/>
      <c r="D212" s="820"/>
      <c r="E212" s="515"/>
      <c r="F212" s="515"/>
      <c r="G212" s="515"/>
      <c r="H212" s="820"/>
      <c r="I212" s="515"/>
      <c r="J212" s="515"/>
      <c r="K212" s="515"/>
      <c r="L212" s="820"/>
    </row>
    <row r="213" spans="1:12" ht="15" customHeight="1">
      <c r="A213" s="515"/>
      <c r="B213" s="515"/>
      <c r="C213" s="515"/>
      <c r="D213" s="820"/>
      <c r="E213" s="515"/>
      <c r="F213" s="515"/>
      <c r="G213" s="515"/>
      <c r="H213" s="820"/>
      <c r="I213" s="515"/>
      <c r="J213" s="515"/>
      <c r="K213" s="515"/>
      <c r="L213" s="820"/>
    </row>
    <row r="214" spans="1:12" ht="15" customHeight="1">
      <c r="A214" s="515"/>
      <c r="B214" s="515"/>
      <c r="C214" s="515"/>
      <c r="D214" s="820"/>
      <c r="E214" s="515"/>
      <c r="F214" s="515"/>
      <c r="G214" s="515"/>
      <c r="H214" s="820"/>
      <c r="I214" s="515"/>
      <c r="J214" s="515"/>
      <c r="K214" s="515"/>
      <c r="L214" s="820"/>
    </row>
    <row r="215" spans="1:12" ht="15" customHeight="1">
      <c r="A215" s="515"/>
      <c r="B215" s="515"/>
      <c r="C215" s="515"/>
      <c r="D215" s="820"/>
      <c r="E215" s="515"/>
      <c r="F215" s="515"/>
      <c r="G215" s="515"/>
      <c r="H215" s="820"/>
      <c r="I215" s="515"/>
      <c r="J215" s="515"/>
      <c r="K215" s="515"/>
      <c r="L215" s="820"/>
    </row>
    <row r="216" spans="1:12" ht="15" customHeight="1">
      <c r="A216" s="515"/>
      <c r="B216" s="515"/>
      <c r="C216" s="515"/>
      <c r="D216" s="820"/>
      <c r="E216" s="515"/>
      <c r="F216" s="515"/>
      <c r="G216" s="515"/>
      <c r="H216" s="820"/>
      <c r="I216" s="515"/>
      <c r="J216" s="515"/>
      <c r="K216" s="515"/>
      <c r="L216" s="820"/>
    </row>
    <row r="217" spans="1:12" ht="15" customHeight="1">
      <c r="A217" s="515"/>
      <c r="B217" s="515"/>
      <c r="C217" s="515"/>
      <c r="D217" s="820"/>
      <c r="E217" s="515"/>
      <c r="F217" s="515"/>
      <c r="G217" s="515"/>
      <c r="H217" s="820"/>
      <c r="I217" s="515"/>
      <c r="J217" s="515"/>
      <c r="K217" s="515"/>
      <c r="L217" s="820"/>
    </row>
    <row r="218" spans="1:12" ht="15" customHeight="1">
      <c r="A218" s="515"/>
      <c r="B218" s="515"/>
      <c r="C218" s="515"/>
      <c r="D218" s="820"/>
      <c r="E218" s="515"/>
      <c r="F218" s="515"/>
      <c r="G218" s="515"/>
      <c r="H218" s="820"/>
      <c r="I218" s="515"/>
      <c r="J218" s="515"/>
      <c r="K218" s="515"/>
      <c r="L218" s="820"/>
    </row>
    <row r="219" spans="1:12" ht="15" customHeight="1">
      <c r="A219" s="515"/>
      <c r="B219" s="515"/>
      <c r="C219" s="515"/>
      <c r="D219" s="820"/>
      <c r="E219" s="515"/>
      <c r="F219" s="515"/>
      <c r="G219" s="515"/>
      <c r="H219" s="820"/>
      <c r="I219" s="515"/>
      <c r="J219" s="515"/>
      <c r="K219" s="515"/>
      <c r="L219" s="820"/>
    </row>
    <row r="220" spans="1:12" ht="15" customHeight="1">
      <c r="A220" s="515"/>
      <c r="B220" s="515"/>
      <c r="C220" s="515"/>
      <c r="D220" s="820"/>
      <c r="E220" s="515"/>
      <c r="F220" s="515"/>
      <c r="G220" s="515"/>
      <c r="H220" s="820"/>
      <c r="I220" s="515"/>
      <c r="J220" s="515"/>
      <c r="K220" s="515"/>
      <c r="L220" s="820"/>
    </row>
    <row r="221" spans="1:12" ht="15" customHeight="1">
      <c r="A221" s="515"/>
      <c r="B221" s="515"/>
      <c r="C221" s="515"/>
      <c r="D221" s="820"/>
      <c r="E221" s="515"/>
      <c r="F221" s="515"/>
      <c r="G221" s="515"/>
      <c r="H221" s="820"/>
      <c r="I221" s="515"/>
      <c r="J221" s="515"/>
      <c r="K221" s="515"/>
      <c r="L221" s="820"/>
    </row>
    <row r="222" spans="1:12" ht="15" customHeight="1">
      <c r="A222" s="515"/>
      <c r="B222" s="515"/>
      <c r="C222" s="515"/>
      <c r="D222" s="820"/>
      <c r="E222" s="515"/>
      <c r="F222" s="515"/>
      <c r="G222" s="515"/>
      <c r="H222" s="820"/>
      <c r="I222" s="515"/>
      <c r="J222" s="515"/>
      <c r="K222" s="515"/>
      <c r="L222" s="820"/>
    </row>
    <row r="223" spans="1:12" ht="15" customHeight="1">
      <c r="A223" s="515"/>
      <c r="B223" s="515"/>
      <c r="C223" s="515"/>
      <c r="D223" s="820"/>
      <c r="E223" s="515"/>
      <c r="F223" s="515"/>
      <c r="G223" s="515"/>
      <c r="H223" s="820"/>
      <c r="I223" s="515"/>
      <c r="J223" s="515"/>
      <c r="K223" s="515"/>
      <c r="L223" s="820"/>
    </row>
    <row r="224" spans="1:12" ht="15" customHeight="1">
      <c r="A224" s="515"/>
      <c r="B224" s="515"/>
      <c r="C224" s="515"/>
      <c r="D224" s="820"/>
      <c r="E224" s="515"/>
      <c r="F224" s="515"/>
      <c r="G224" s="515"/>
      <c r="H224" s="820"/>
      <c r="I224" s="515"/>
      <c r="J224" s="515"/>
      <c r="K224" s="515"/>
      <c r="L224" s="820"/>
    </row>
    <row r="225" spans="1:12" ht="15" customHeight="1">
      <c r="A225" s="515"/>
      <c r="B225" s="515"/>
      <c r="C225" s="515"/>
      <c r="D225" s="820"/>
      <c r="E225" s="515"/>
      <c r="F225" s="515"/>
      <c r="G225" s="515"/>
      <c r="H225" s="820"/>
      <c r="I225" s="515"/>
      <c r="J225" s="515"/>
      <c r="K225" s="515"/>
      <c r="L225" s="820"/>
    </row>
    <row r="226" spans="1:12" ht="15" customHeight="1">
      <c r="A226" s="515"/>
      <c r="B226" s="515"/>
      <c r="C226" s="515"/>
      <c r="D226" s="820"/>
      <c r="E226" s="515"/>
      <c r="F226" s="515"/>
      <c r="G226" s="515"/>
      <c r="H226" s="820"/>
      <c r="I226" s="515"/>
      <c r="J226" s="515"/>
      <c r="K226" s="515"/>
      <c r="L226" s="820"/>
    </row>
    <row r="227" spans="1:12" ht="15" customHeight="1">
      <c r="A227" s="515"/>
      <c r="B227" s="515"/>
      <c r="C227" s="515"/>
      <c r="D227" s="820"/>
      <c r="E227" s="515"/>
      <c r="F227" s="515"/>
      <c r="G227" s="515"/>
      <c r="H227" s="820"/>
      <c r="I227" s="515"/>
      <c r="J227" s="515"/>
      <c r="K227" s="515"/>
      <c r="L227" s="820"/>
    </row>
    <row r="228" spans="1:12" ht="15" customHeight="1">
      <c r="A228" s="515"/>
      <c r="B228" s="515"/>
      <c r="C228" s="515"/>
      <c r="D228" s="820"/>
      <c r="E228" s="515"/>
      <c r="F228" s="515"/>
      <c r="G228" s="515"/>
      <c r="H228" s="820"/>
      <c r="I228" s="515"/>
      <c r="J228" s="515"/>
      <c r="K228" s="515"/>
      <c r="L228" s="820"/>
    </row>
    <row r="229" spans="1:12" ht="15" customHeight="1">
      <c r="A229" s="515"/>
      <c r="B229" s="515"/>
      <c r="C229" s="515"/>
      <c r="D229" s="820"/>
      <c r="E229" s="515"/>
      <c r="F229" s="515"/>
      <c r="G229" s="515"/>
      <c r="H229" s="820"/>
      <c r="I229" s="515"/>
      <c r="J229" s="515"/>
      <c r="K229" s="515"/>
      <c r="L229" s="820"/>
    </row>
    <row r="230" spans="1:12" ht="15" customHeight="1">
      <c r="A230" s="515"/>
      <c r="B230" s="515"/>
      <c r="C230" s="515"/>
      <c r="D230" s="820"/>
      <c r="E230" s="515"/>
      <c r="F230" s="515"/>
      <c r="G230" s="515"/>
      <c r="H230" s="820"/>
      <c r="I230" s="515"/>
      <c r="J230" s="515"/>
      <c r="K230" s="515"/>
      <c r="L230" s="820"/>
    </row>
    <row r="231" spans="1:12" ht="15" customHeight="1">
      <c r="A231" s="515"/>
      <c r="B231" s="515"/>
      <c r="C231" s="515"/>
      <c r="D231" s="820"/>
      <c r="E231" s="515"/>
      <c r="F231" s="515"/>
      <c r="G231" s="515"/>
      <c r="H231" s="820"/>
      <c r="I231" s="515"/>
      <c r="J231" s="515"/>
      <c r="K231" s="515"/>
      <c r="L231" s="820"/>
    </row>
    <row r="232" spans="1:12" ht="15" customHeight="1">
      <c r="A232" s="515"/>
      <c r="B232" s="515"/>
      <c r="C232" s="515"/>
      <c r="D232" s="820"/>
      <c r="E232" s="515"/>
      <c r="F232" s="515"/>
      <c r="G232" s="515"/>
      <c r="H232" s="820"/>
      <c r="I232" s="515"/>
      <c r="J232" s="515"/>
      <c r="K232" s="515"/>
      <c r="L232" s="820"/>
    </row>
    <row r="233" spans="1:12" ht="15" customHeight="1">
      <c r="A233" s="515"/>
      <c r="B233" s="515"/>
      <c r="C233" s="515"/>
      <c r="D233" s="820"/>
      <c r="E233" s="515"/>
      <c r="F233" s="515"/>
      <c r="G233" s="515"/>
      <c r="H233" s="820"/>
      <c r="I233" s="515"/>
      <c r="J233" s="515"/>
      <c r="K233" s="515"/>
      <c r="L233" s="820"/>
    </row>
    <row r="234" spans="1:12" ht="14.25">
      <c r="A234" s="515"/>
      <c r="B234" s="515"/>
      <c r="C234" s="515"/>
      <c r="D234" s="820"/>
      <c r="E234" s="515"/>
      <c r="F234" s="515"/>
      <c r="G234" s="515"/>
      <c r="H234" s="820"/>
      <c r="I234" s="515"/>
      <c r="J234" s="515"/>
      <c r="K234" s="515"/>
      <c r="L234" s="820"/>
    </row>
    <row r="235" spans="1:12" ht="14.25">
      <c r="A235" s="515"/>
      <c r="B235" s="515"/>
      <c r="C235" s="515"/>
      <c r="D235" s="820"/>
      <c r="E235" s="515"/>
      <c r="F235" s="515"/>
      <c r="G235" s="515"/>
      <c r="H235" s="820"/>
      <c r="I235" s="515"/>
      <c r="J235" s="515"/>
      <c r="K235" s="515"/>
      <c r="L235" s="820"/>
    </row>
    <row r="236" spans="1:12" ht="14.25">
      <c r="A236" s="515"/>
      <c r="B236" s="515"/>
      <c r="C236" s="515"/>
      <c r="D236" s="820"/>
      <c r="E236" s="515"/>
      <c r="F236" s="515"/>
      <c r="G236" s="515"/>
      <c r="H236" s="820"/>
      <c r="I236" s="515"/>
      <c r="J236" s="515"/>
      <c r="K236" s="515"/>
      <c r="L236" s="820"/>
    </row>
    <row r="237" spans="1:12" ht="14.25">
      <c r="A237" s="515"/>
      <c r="B237" s="515"/>
      <c r="C237" s="515"/>
      <c r="D237" s="820"/>
      <c r="E237" s="515"/>
      <c r="F237" s="515"/>
      <c r="G237" s="515"/>
      <c r="H237" s="820"/>
      <c r="I237" s="515"/>
      <c r="J237" s="515"/>
      <c r="K237" s="515"/>
      <c r="L237" s="820"/>
    </row>
    <row r="238" spans="1:12" ht="14.25">
      <c r="A238" s="515"/>
      <c r="B238" s="515"/>
      <c r="C238" s="515"/>
      <c r="D238" s="820"/>
      <c r="E238" s="515"/>
      <c r="F238" s="515"/>
      <c r="G238" s="515"/>
      <c r="H238" s="820"/>
      <c r="I238" s="515"/>
      <c r="J238" s="515"/>
      <c r="K238" s="515"/>
      <c r="L238" s="820"/>
    </row>
    <row r="239" spans="1:12" ht="14.25">
      <c r="A239" s="515"/>
      <c r="B239" s="515"/>
      <c r="C239" s="515"/>
      <c r="D239" s="820"/>
      <c r="E239" s="515"/>
      <c r="F239" s="515"/>
      <c r="G239" s="515"/>
      <c r="H239" s="820"/>
      <c r="I239" s="515"/>
      <c r="J239" s="515"/>
      <c r="K239" s="515"/>
      <c r="L239" s="820"/>
    </row>
    <row r="240" spans="1:12" ht="14.25">
      <c r="A240" s="515"/>
      <c r="B240" s="515"/>
      <c r="C240" s="515"/>
      <c r="D240" s="820"/>
      <c r="E240" s="515"/>
      <c r="F240" s="515"/>
      <c r="G240" s="515"/>
      <c r="H240" s="820"/>
      <c r="I240" s="515"/>
      <c r="J240" s="515"/>
      <c r="K240" s="515"/>
      <c r="L240" s="820"/>
    </row>
    <row r="241" spans="1:12" ht="14.25">
      <c r="A241" s="515"/>
      <c r="B241" s="515"/>
      <c r="C241" s="515"/>
      <c r="D241" s="820"/>
      <c r="E241" s="515"/>
      <c r="F241" s="515"/>
      <c r="G241" s="515"/>
      <c r="H241" s="820"/>
      <c r="I241" s="515"/>
      <c r="J241" s="515"/>
      <c r="K241" s="515"/>
      <c r="L241" s="820"/>
    </row>
    <row r="242" spans="1:12" ht="14.25">
      <c r="A242" s="515"/>
      <c r="B242" s="515"/>
      <c r="C242" s="515"/>
      <c r="D242" s="820"/>
      <c r="E242" s="515"/>
      <c r="F242" s="515"/>
      <c r="G242" s="515"/>
      <c r="H242" s="820"/>
      <c r="I242" s="515"/>
      <c r="J242" s="515"/>
      <c r="K242" s="515"/>
      <c r="L242" s="820"/>
    </row>
    <row r="243" spans="1:12" ht="14.25">
      <c r="A243" s="515"/>
      <c r="B243" s="515"/>
      <c r="C243" s="515"/>
      <c r="D243" s="820"/>
      <c r="E243" s="515"/>
      <c r="F243" s="515"/>
      <c r="G243" s="515"/>
      <c r="H243" s="820"/>
      <c r="I243" s="515"/>
      <c r="J243" s="515"/>
      <c r="K243" s="515"/>
      <c r="L243" s="820"/>
    </row>
    <row r="244" spans="1:12" ht="14.25">
      <c r="A244" s="515"/>
      <c r="B244" s="515"/>
      <c r="C244" s="515"/>
      <c r="D244" s="820"/>
      <c r="E244" s="515"/>
      <c r="F244" s="515"/>
      <c r="G244" s="515"/>
      <c r="H244" s="820"/>
      <c r="I244" s="515"/>
      <c r="J244" s="515"/>
      <c r="K244" s="515"/>
      <c r="L244" s="820"/>
    </row>
    <row r="245" spans="1:12" ht="14.25">
      <c r="A245" s="515"/>
      <c r="B245" s="515"/>
      <c r="C245" s="515"/>
      <c r="D245" s="820"/>
      <c r="E245" s="515"/>
      <c r="F245" s="515"/>
      <c r="G245" s="515"/>
      <c r="H245" s="820"/>
      <c r="I245" s="515"/>
      <c r="J245" s="515"/>
      <c r="K245" s="515"/>
      <c r="L245" s="820"/>
    </row>
    <row r="246" spans="1:12" ht="14.25">
      <c r="A246" s="515"/>
      <c r="B246" s="515"/>
      <c r="C246" s="515"/>
      <c r="D246" s="820"/>
      <c r="E246" s="515"/>
      <c r="F246" s="515"/>
      <c r="G246" s="515"/>
      <c r="H246" s="820"/>
      <c r="I246" s="515"/>
      <c r="J246" s="515"/>
      <c r="K246" s="515"/>
      <c r="L246" s="820"/>
    </row>
    <row r="247" spans="1:12" ht="14.25">
      <c r="A247" s="515"/>
      <c r="B247" s="515"/>
      <c r="C247" s="515"/>
      <c r="D247" s="820"/>
      <c r="E247" s="515"/>
      <c r="F247" s="515"/>
      <c r="G247" s="515"/>
      <c r="H247" s="820"/>
      <c r="I247" s="515"/>
      <c r="J247" s="515"/>
      <c r="K247" s="515"/>
      <c r="L247" s="820"/>
    </row>
    <row r="248" spans="1:12" ht="14.25">
      <c r="A248" s="515"/>
      <c r="B248" s="515"/>
      <c r="C248" s="515"/>
      <c r="D248" s="820"/>
      <c r="E248" s="515"/>
      <c r="F248" s="515"/>
      <c r="G248" s="515"/>
      <c r="H248" s="820"/>
      <c r="I248" s="515"/>
      <c r="J248" s="515"/>
      <c r="K248" s="515"/>
      <c r="L248" s="820"/>
    </row>
    <row r="249" spans="1:12" ht="14.25">
      <c r="A249" s="515"/>
      <c r="B249" s="515"/>
      <c r="C249" s="515"/>
      <c r="D249" s="820"/>
      <c r="E249" s="515"/>
      <c r="F249" s="515"/>
      <c r="G249" s="515"/>
      <c r="H249" s="820"/>
      <c r="I249" s="515"/>
      <c r="J249" s="515"/>
      <c r="K249" s="515"/>
      <c r="L249" s="820"/>
    </row>
    <row r="250" spans="1:12" ht="14.25">
      <c r="A250" s="515"/>
      <c r="B250" s="515"/>
      <c r="C250" s="515"/>
      <c r="D250" s="820"/>
      <c r="E250" s="515"/>
      <c r="F250" s="515"/>
      <c r="G250" s="515"/>
      <c r="H250" s="820"/>
      <c r="I250" s="515"/>
      <c r="J250" s="515"/>
      <c r="K250" s="515"/>
      <c r="L250" s="820"/>
    </row>
    <row r="251" spans="1:12" ht="14.25">
      <c r="A251" s="515"/>
      <c r="B251" s="515"/>
      <c r="C251" s="515"/>
      <c r="D251" s="820"/>
      <c r="E251" s="515"/>
      <c r="F251" s="515"/>
      <c r="G251" s="515"/>
      <c r="H251" s="820"/>
      <c r="I251" s="515"/>
      <c r="J251" s="515"/>
      <c r="K251" s="515"/>
      <c r="L251" s="820"/>
    </row>
    <row r="252" spans="1:12" ht="14.25">
      <c r="A252" s="515"/>
      <c r="B252" s="515"/>
      <c r="C252" s="515"/>
      <c r="D252" s="820"/>
      <c r="E252" s="515"/>
      <c r="F252" s="515"/>
      <c r="G252" s="515"/>
      <c r="H252" s="820"/>
      <c r="I252" s="515"/>
      <c r="J252" s="515"/>
      <c r="K252" s="515"/>
      <c r="L252" s="820"/>
    </row>
    <row r="253" spans="1:12" ht="14.25">
      <c r="A253" s="515"/>
      <c r="B253" s="515"/>
      <c r="C253" s="515"/>
      <c r="D253" s="820"/>
      <c r="E253" s="515"/>
      <c r="F253" s="515"/>
      <c r="G253" s="515"/>
      <c r="H253" s="820"/>
      <c r="I253" s="515"/>
      <c r="J253" s="515"/>
      <c r="K253" s="515"/>
      <c r="L253" s="820"/>
    </row>
    <row r="254" spans="1:12" ht="14.25">
      <c r="A254" s="515"/>
      <c r="B254" s="515"/>
      <c r="C254" s="515"/>
      <c r="D254" s="820"/>
      <c r="E254" s="515"/>
      <c r="F254" s="515"/>
      <c r="G254" s="515"/>
      <c r="H254" s="820"/>
      <c r="I254" s="515"/>
      <c r="J254" s="515"/>
      <c r="K254" s="515"/>
      <c r="L254" s="820"/>
    </row>
    <row r="255" spans="1:12" ht="14.25">
      <c r="A255" s="515"/>
      <c r="B255" s="515"/>
      <c r="C255" s="515"/>
      <c r="D255" s="820"/>
      <c r="E255" s="515"/>
      <c r="F255" s="515"/>
      <c r="G255" s="515"/>
      <c r="H255" s="820"/>
      <c r="I255" s="515"/>
      <c r="J255" s="515"/>
      <c r="K255" s="515"/>
      <c r="L255" s="820"/>
    </row>
    <row r="256" spans="1:12" ht="14.25">
      <c r="A256" s="515"/>
      <c r="B256" s="515"/>
      <c r="C256" s="515"/>
      <c r="D256" s="820"/>
      <c r="E256" s="515"/>
      <c r="F256" s="515"/>
      <c r="G256" s="515"/>
      <c r="H256" s="820"/>
      <c r="I256" s="515"/>
      <c r="J256" s="515"/>
      <c r="K256" s="515"/>
      <c r="L256" s="820"/>
    </row>
    <row r="257" spans="1:12" ht="14.25">
      <c r="A257" s="515"/>
      <c r="B257" s="515"/>
      <c r="C257" s="515"/>
      <c r="D257" s="820"/>
      <c r="E257" s="515"/>
      <c r="F257" s="515"/>
      <c r="G257" s="515"/>
      <c r="H257" s="820"/>
      <c r="I257" s="515"/>
      <c r="J257" s="515"/>
      <c r="K257" s="515"/>
      <c r="L257" s="820"/>
    </row>
    <row r="258" spans="1:12" ht="14.25">
      <c r="A258" s="515"/>
      <c r="B258" s="515"/>
      <c r="C258" s="515"/>
      <c r="D258" s="820"/>
      <c r="E258" s="515"/>
      <c r="F258" s="515"/>
      <c r="G258" s="515"/>
      <c r="H258" s="820"/>
      <c r="I258" s="515"/>
      <c r="J258" s="515"/>
      <c r="K258" s="515"/>
      <c r="L258" s="820"/>
    </row>
    <row r="259" spans="1:12" ht="14.25">
      <c r="A259" s="515"/>
      <c r="B259" s="515"/>
      <c r="C259" s="515"/>
      <c r="D259" s="820"/>
      <c r="E259" s="515"/>
      <c r="F259" s="515"/>
      <c r="G259" s="515"/>
      <c r="H259" s="820"/>
      <c r="I259" s="515"/>
      <c r="J259" s="515"/>
      <c r="K259" s="515"/>
      <c r="L259" s="820"/>
    </row>
    <row r="260" spans="1:12" ht="14.25">
      <c r="A260" s="515"/>
      <c r="B260" s="515"/>
      <c r="C260" s="515"/>
      <c r="D260" s="820"/>
      <c r="E260" s="515"/>
      <c r="F260" s="515"/>
      <c r="G260" s="515"/>
      <c r="H260" s="820"/>
      <c r="I260" s="515"/>
      <c r="J260" s="515"/>
      <c r="K260" s="515"/>
      <c r="L260" s="820"/>
    </row>
    <row r="261" spans="1:12" ht="14.25">
      <c r="A261" s="515"/>
      <c r="B261" s="515"/>
      <c r="C261" s="515"/>
      <c r="D261" s="820"/>
      <c r="E261" s="515"/>
      <c r="F261" s="515"/>
      <c r="G261" s="515"/>
      <c r="H261" s="820"/>
      <c r="I261" s="515"/>
      <c r="J261" s="515"/>
      <c r="K261" s="515"/>
      <c r="L261" s="820"/>
    </row>
    <row r="262" spans="1:12" ht="14.25">
      <c r="A262" s="515"/>
      <c r="B262" s="515"/>
      <c r="C262" s="515"/>
      <c r="D262" s="820"/>
      <c r="E262" s="515"/>
      <c r="F262" s="515"/>
      <c r="G262" s="515"/>
      <c r="H262" s="820"/>
      <c r="I262" s="515"/>
      <c r="J262" s="515"/>
      <c r="K262" s="515"/>
      <c r="L262" s="820"/>
    </row>
    <row r="263" spans="1:12" ht="14.25">
      <c r="A263" s="515"/>
      <c r="B263" s="515"/>
      <c r="C263" s="515"/>
      <c r="D263" s="820"/>
      <c r="E263" s="515"/>
      <c r="F263" s="515"/>
      <c r="G263" s="515"/>
      <c r="H263" s="820"/>
      <c r="I263" s="515"/>
      <c r="J263" s="515"/>
      <c r="K263" s="515"/>
      <c r="L263" s="820"/>
    </row>
    <row r="264" spans="1:12" ht="14.25">
      <c r="A264" s="515"/>
      <c r="B264" s="515"/>
      <c r="C264" s="515"/>
      <c r="D264" s="820"/>
      <c r="E264" s="515"/>
      <c r="F264" s="515"/>
      <c r="G264" s="515"/>
      <c r="H264" s="820"/>
      <c r="I264" s="515"/>
      <c r="J264" s="515"/>
      <c r="K264" s="515"/>
      <c r="L264" s="820"/>
    </row>
    <row r="265" spans="1:12" ht="14.25">
      <c r="A265" s="515"/>
      <c r="B265" s="515"/>
      <c r="C265" s="515"/>
      <c r="D265" s="820"/>
      <c r="E265" s="515"/>
      <c r="F265" s="515"/>
      <c r="G265" s="515"/>
      <c r="H265" s="820"/>
      <c r="I265" s="515"/>
      <c r="J265" s="515"/>
      <c r="K265" s="515"/>
      <c r="L265" s="820"/>
    </row>
    <row r="266" spans="1:12" ht="14.25">
      <c r="A266" s="515"/>
      <c r="B266" s="515"/>
      <c r="C266" s="515"/>
      <c r="D266" s="820"/>
      <c r="E266" s="515"/>
      <c r="F266" s="515"/>
      <c r="G266" s="515"/>
      <c r="H266" s="820"/>
      <c r="I266" s="515"/>
      <c r="J266" s="515"/>
      <c r="K266" s="515"/>
      <c r="L266" s="820"/>
    </row>
    <row r="267" spans="1:12" ht="14.25">
      <c r="A267" s="515"/>
      <c r="B267" s="515"/>
      <c r="C267" s="515"/>
      <c r="D267" s="820"/>
      <c r="E267" s="515"/>
      <c r="F267" s="515"/>
      <c r="G267" s="515"/>
      <c r="H267" s="820"/>
      <c r="I267" s="515"/>
      <c r="J267" s="515"/>
      <c r="K267" s="515"/>
      <c r="L267" s="820"/>
    </row>
    <row r="268" spans="1:12" ht="14.25">
      <c r="A268" s="515"/>
      <c r="B268" s="515"/>
      <c r="C268" s="515"/>
      <c r="D268" s="820"/>
      <c r="E268" s="515"/>
      <c r="F268" s="515"/>
      <c r="G268" s="515"/>
      <c r="H268" s="820"/>
      <c r="I268" s="515"/>
      <c r="J268" s="515"/>
      <c r="K268" s="515"/>
      <c r="L268" s="820"/>
    </row>
    <row r="269" spans="1:12" ht="14.25">
      <c r="A269" s="515"/>
      <c r="B269" s="515"/>
      <c r="C269" s="515"/>
      <c r="D269" s="820"/>
      <c r="E269" s="515"/>
      <c r="F269" s="515"/>
      <c r="G269" s="515"/>
      <c r="H269" s="820"/>
      <c r="I269" s="515"/>
      <c r="J269" s="515"/>
      <c r="K269" s="515"/>
      <c r="L269" s="820"/>
    </row>
    <row r="270" spans="1:12" ht="14.25">
      <c r="A270" s="515"/>
      <c r="B270" s="515"/>
      <c r="C270" s="515"/>
      <c r="D270" s="820"/>
      <c r="E270" s="515"/>
      <c r="F270" s="515"/>
      <c r="G270" s="515"/>
      <c r="H270" s="820"/>
      <c r="I270" s="515"/>
      <c r="J270" s="515"/>
      <c r="K270" s="515"/>
      <c r="L270" s="820"/>
    </row>
    <row r="271" spans="1:12" ht="14.25">
      <c r="A271" s="515"/>
      <c r="B271" s="515"/>
      <c r="C271" s="515"/>
      <c r="D271" s="820"/>
      <c r="E271" s="515"/>
      <c r="F271" s="515"/>
      <c r="G271" s="515"/>
      <c r="H271" s="820"/>
      <c r="I271" s="515"/>
      <c r="J271" s="515"/>
      <c r="K271" s="515"/>
      <c r="L271" s="820"/>
    </row>
    <row r="272" spans="1:12" ht="14.25">
      <c r="A272" s="515"/>
      <c r="B272" s="515"/>
      <c r="C272" s="515"/>
      <c r="D272" s="820"/>
      <c r="E272" s="515"/>
      <c r="F272" s="515"/>
      <c r="G272" s="515"/>
      <c r="H272" s="820"/>
      <c r="I272" s="515"/>
      <c r="J272" s="515"/>
      <c r="K272" s="515"/>
      <c r="L272" s="820"/>
    </row>
    <row r="273" spans="1:12" ht="14.25">
      <c r="A273" s="515"/>
      <c r="B273" s="515"/>
      <c r="C273" s="515"/>
      <c r="D273" s="820"/>
      <c r="E273" s="515"/>
      <c r="F273" s="515"/>
      <c r="G273" s="515"/>
      <c r="H273" s="820"/>
      <c r="I273" s="515"/>
      <c r="J273" s="515"/>
      <c r="K273" s="515"/>
      <c r="L273" s="820"/>
    </row>
    <row r="274" spans="1:12" ht="14.25">
      <c r="A274" s="515"/>
      <c r="B274" s="515"/>
      <c r="C274" s="515"/>
      <c r="D274" s="820"/>
      <c r="E274" s="515"/>
      <c r="F274" s="515"/>
      <c r="G274" s="515"/>
      <c r="H274" s="820"/>
      <c r="I274" s="515"/>
      <c r="J274" s="515"/>
      <c r="K274" s="515"/>
      <c r="L274" s="820"/>
    </row>
    <row r="275" spans="1:12" ht="14.25">
      <c r="A275" s="515"/>
      <c r="B275" s="515"/>
      <c r="C275" s="515"/>
      <c r="D275" s="820"/>
      <c r="E275" s="515"/>
      <c r="F275" s="515"/>
      <c r="G275" s="515"/>
      <c r="H275" s="820"/>
      <c r="I275" s="515"/>
      <c r="J275" s="515"/>
      <c r="K275" s="515"/>
      <c r="L275" s="820"/>
    </row>
    <row r="276" spans="1:12" ht="14.25">
      <c r="A276" s="515"/>
      <c r="B276" s="515"/>
      <c r="C276" s="515"/>
      <c r="D276" s="820"/>
      <c r="E276" s="515"/>
      <c r="F276" s="515"/>
      <c r="G276" s="515"/>
      <c r="H276" s="820"/>
      <c r="I276" s="515"/>
      <c r="J276" s="515"/>
      <c r="K276" s="515"/>
      <c r="L276" s="820"/>
    </row>
    <row r="277" spans="1:12" ht="14.25">
      <c r="A277" s="515"/>
      <c r="B277" s="515"/>
      <c r="C277" s="515"/>
      <c r="D277" s="820"/>
      <c r="E277" s="515"/>
      <c r="F277" s="515"/>
      <c r="G277" s="515"/>
      <c r="H277" s="820"/>
      <c r="I277" s="515"/>
      <c r="J277" s="515"/>
      <c r="K277" s="515"/>
      <c r="L277" s="820"/>
    </row>
    <row r="278" spans="1:12" ht="14.25">
      <c r="A278" s="515"/>
      <c r="B278" s="515"/>
      <c r="C278" s="515"/>
      <c r="D278" s="820"/>
      <c r="E278" s="515"/>
      <c r="F278" s="515"/>
      <c r="G278" s="515"/>
      <c r="H278" s="820"/>
      <c r="I278" s="515"/>
      <c r="J278" s="515"/>
      <c r="K278" s="515"/>
      <c r="L278" s="820"/>
    </row>
    <row r="279" spans="1:12" ht="14.25">
      <c r="A279" s="515"/>
      <c r="B279" s="515"/>
      <c r="C279" s="515"/>
      <c r="D279" s="820"/>
      <c r="E279" s="515"/>
      <c r="F279" s="515"/>
      <c r="G279" s="515"/>
      <c r="H279" s="820"/>
      <c r="I279" s="515"/>
      <c r="J279" s="515"/>
      <c r="K279" s="515"/>
      <c r="L279" s="820"/>
    </row>
    <row r="280" spans="1:12" ht="14.25">
      <c r="A280" s="515"/>
      <c r="B280" s="515"/>
      <c r="C280" s="515"/>
      <c r="D280" s="820"/>
      <c r="E280" s="515"/>
      <c r="F280" s="515"/>
      <c r="G280" s="515"/>
      <c r="H280" s="820"/>
      <c r="I280" s="515"/>
      <c r="J280" s="515"/>
      <c r="K280" s="515"/>
      <c r="L280" s="820"/>
    </row>
    <row r="281" spans="1:12" ht="14.25">
      <c r="A281" s="515"/>
      <c r="B281" s="515"/>
      <c r="C281" s="515"/>
      <c r="D281" s="820"/>
      <c r="E281" s="515"/>
      <c r="F281" s="515"/>
      <c r="G281" s="515"/>
      <c r="H281" s="820"/>
      <c r="I281" s="515"/>
      <c r="J281" s="515"/>
      <c r="K281" s="515"/>
      <c r="L281" s="820"/>
    </row>
    <row r="282" spans="1:12" ht="14.25">
      <c r="A282" s="515"/>
      <c r="B282" s="515"/>
      <c r="C282" s="515"/>
      <c r="D282" s="820"/>
      <c r="E282" s="515"/>
      <c r="F282" s="515"/>
      <c r="G282" s="515"/>
      <c r="H282" s="820"/>
      <c r="I282" s="515"/>
      <c r="J282" s="515"/>
      <c r="K282" s="515"/>
      <c r="L282" s="820"/>
    </row>
    <row r="283" spans="1:12" ht="14.25">
      <c r="A283" s="515"/>
      <c r="B283" s="515"/>
      <c r="C283" s="515"/>
      <c r="D283" s="820"/>
      <c r="E283" s="515"/>
      <c r="F283" s="515"/>
      <c r="G283" s="515"/>
      <c r="H283" s="820"/>
      <c r="I283" s="515"/>
      <c r="J283" s="515"/>
      <c r="K283" s="515"/>
      <c r="L283" s="820"/>
    </row>
    <row r="284" spans="1:12" ht="14.25">
      <c r="A284" s="515"/>
      <c r="B284" s="515"/>
      <c r="C284" s="515"/>
      <c r="D284" s="820"/>
      <c r="E284" s="515"/>
      <c r="F284" s="515"/>
      <c r="G284" s="515"/>
      <c r="H284" s="820"/>
      <c r="I284" s="515"/>
      <c r="J284" s="515"/>
      <c r="K284" s="515"/>
      <c r="L284" s="820"/>
    </row>
    <row r="285" spans="1:12" ht="14.25">
      <c r="A285" s="515"/>
      <c r="B285" s="515"/>
      <c r="C285" s="515"/>
      <c r="D285" s="820"/>
      <c r="E285" s="515"/>
      <c r="F285" s="515"/>
      <c r="G285" s="515"/>
      <c r="H285" s="820"/>
      <c r="I285" s="515"/>
      <c r="J285" s="515"/>
      <c r="K285" s="515"/>
      <c r="L285" s="820"/>
    </row>
    <row r="286" spans="1:12" ht="14.25">
      <c r="A286" s="515"/>
      <c r="B286" s="515"/>
      <c r="C286" s="515"/>
      <c r="D286" s="820"/>
      <c r="E286" s="515"/>
      <c r="F286" s="515"/>
      <c r="G286" s="515"/>
      <c r="H286" s="820"/>
      <c r="I286" s="515"/>
      <c r="J286" s="515"/>
      <c r="K286" s="515"/>
      <c r="L286" s="820"/>
    </row>
    <row r="287" spans="1:12" ht="14.25">
      <c r="A287" s="515"/>
      <c r="B287" s="515"/>
      <c r="C287" s="515"/>
      <c r="D287" s="820"/>
      <c r="E287" s="515"/>
      <c r="F287" s="515"/>
      <c r="G287" s="515"/>
      <c r="H287" s="820"/>
      <c r="I287" s="515"/>
      <c r="J287" s="515"/>
      <c r="K287" s="515"/>
      <c r="L287" s="820"/>
    </row>
    <row r="288" spans="1:12" ht="14.25">
      <c r="A288" s="515"/>
      <c r="B288" s="515"/>
      <c r="C288" s="515"/>
      <c r="D288" s="820"/>
      <c r="E288" s="515"/>
      <c r="F288" s="515"/>
      <c r="G288" s="515"/>
      <c r="H288" s="820"/>
      <c r="I288" s="515"/>
      <c r="J288" s="515"/>
      <c r="K288" s="515"/>
      <c r="L288" s="820"/>
    </row>
    <row r="289" spans="1:12" ht="14.25">
      <c r="A289" s="515"/>
      <c r="B289" s="515"/>
      <c r="C289" s="515"/>
      <c r="D289" s="820"/>
      <c r="E289" s="515"/>
      <c r="F289" s="515"/>
      <c r="G289" s="515"/>
      <c r="H289" s="820"/>
      <c r="I289" s="515"/>
      <c r="J289" s="515"/>
      <c r="K289" s="515"/>
      <c r="L289" s="820"/>
    </row>
    <row r="290" spans="1:12" ht="14.25">
      <c r="A290" s="515"/>
      <c r="B290" s="515"/>
      <c r="C290" s="515"/>
      <c r="D290" s="820"/>
      <c r="E290" s="515"/>
      <c r="F290" s="515"/>
      <c r="G290" s="515"/>
      <c r="H290" s="820"/>
      <c r="I290" s="515"/>
      <c r="J290" s="515"/>
      <c r="K290" s="515"/>
      <c r="L290" s="820"/>
    </row>
    <row r="291" spans="1:12" ht="14.25">
      <c r="A291" s="515"/>
      <c r="B291" s="515"/>
      <c r="C291" s="515"/>
      <c r="D291" s="820"/>
      <c r="E291" s="515"/>
      <c r="F291" s="515"/>
      <c r="G291" s="515"/>
      <c r="H291" s="820"/>
      <c r="I291" s="515"/>
      <c r="J291" s="515"/>
      <c r="K291" s="515"/>
      <c r="L291" s="820"/>
    </row>
    <row r="292" spans="1:12" ht="14.25">
      <c r="A292" s="515"/>
      <c r="B292" s="515"/>
      <c r="C292" s="515"/>
      <c r="D292" s="820"/>
      <c r="E292" s="515"/>
      <c r="F292" s="515"/>
      <c r="G292" s="515"/>
      <c r="H292" s="820"/>
      <c r="I292" s="515"/>
      <c r="J292" s="515"/>
      <c r="K292" s="515"/>
      <c r="L292" s="820"/>
    </row>
    <row r="293" spans="1:12" ht="14.25">
      <c r="A293" s="515"/>
      <c r="B293" s="515"/>
      <c r="C293" s="515"/>
      <c r="D293" s="820"/>
      <c r="E293" s="515"/>
      <c r="F293" s="515"/>
      <c r="G293" s="515"/>
      <c r="H293" s="820"/>
      <c r="I293" s="515"/>
      <c r="J293" s="515"/>
      <c r="K293" s="515"/>
      <c r="L293" s="820"/>
    </row>
    <row r="294" spans="1:12" ht="14.25">
      <c r="A294" s="515"/>
      <c r="B294" s="515"/>
      <c r="C294" s="515"/>
      <c r="D294" s="820"/>
      <c r="E294" s="515"/>
      <c r="F294" s="515"/>
      <c r="G294" s="515"/>
      <c r="H294" s="820"/>
      <c r="I294" s="515"/>
      <c r="J294" s="515"/>
      <c r="K294" s="515"/>
      <c r="L294" s="820"/>
    </row>
    <row r="295" spans="1:12" ht="14.25">
      <c r="A295" s="515"/>
      <c r="B295" s="515"/>
      <c r="C295" s="515"/>
      <c r="D295" s="820"/>
      <c r="E295" s="515"/>
      <c r="F295" s="515"/>
      <c r="G295" s="515"/>
      <c r="H295" s="820"/>
      <c r="I295" s="515"/>
      <c r="J295" s="515"/>
      <c r="K295" s="515"/>
      <c r="L295" s="820"/>
    </row>
    <row r="296" spans="1:12" ht="14.25">
      <c r="A296" s="515"/>
      <c r="B296" s="515"/>
      <c r="C296" s="515"/>
      <c r="D296" s="820"/>
      <c r="E296" s="515"/>
      <c r="F296" s="515"/>
      <c r="G296" s="515"/>
      <c r="H296" s="820"/>
      <c r="I296" s="515"/>
      <c r="J296" s="515"/>
      <c r="K296" s="515"/>
      <c r="L296" s="820"/>
    </row>
    <row r="297" spans="1:12" ht="14.25">
      <c r="A297" s="515"/>
      <c r="B297" s="515"/>
      <c r="C297" s="515"/>
      <c r="D297" s="820"/>
      <c r="E297" s="515"/>
      <c r="F297" s="515"/>
      <c r="G297" s="515"/>
      <c r="H297" s="820"/>
      <c r="I297" s="515"/>
      <c r="J297" s="515"/>
      <c r="K297" s="515"/>
      <c r="L297" s="820"/>
    </row>
    <row r="298" spans="1:12" ht="14.25">
      <c r="A298" s="515"/>
      <c r="B298" s="515"/>
      <c r="C298" s="515"/>
      <c r="D298" s="820"/>
      <c r="E298" s="515"/>
      <c r="F298" s="515"/>
      <c r="G298" s="515"/>
      <c r="H298" s="820"/>
      <c r="I298" s="515"/>
      <c r="J298" s="515"/>
      <c r="K298" s="515"/>
      <c r="L298" s="820"/>
    </row>
    <row r="299" spans="1:12" ht="14.25">
      <c r="A299" s="515"/>
      <c r="B299" s="515"/>
      <c r="C299" s="515"/>
      <c r="D299" s="820"/>
      <c r="E299" s="515"/>
      <c r="F299" s="515"/>
      <c r="G299" s="515"/>
      <c r="H299" s="820"/>
      <c r="I299" s="515"/>
      <c r="J299" s="515"/>
      <c r="K299" s="515"/>
      <c r="L299" s="820"/>
    </row>
    <row r="300" spans="1:12" ht="14.25">
      <c r="A300" s="515"/>
      <c r="B300" s="515"/>
      <c r="C300" s="515"/>
      <c r="D300" s="820"/>
      <c r="E300" s="515"/>
      <c r="F300" s="515"/>
      <c r="G300" s="515"/>
      <c r="H300" s="820"/>
      <c r="I300" s="515"/>
      <c r="J300" s="515"/>
      <c r="K300" s="515"/>
      <c r="L300" s="820"/>
    </row>
    <row r="301" spans="1:12" ht="14.25">
      <c r="A301" s="515"/>
      <c r="B301" s="515"/>
      <c r="C301" s="515"/>
      <c r="D301" s="820"/>
      <c r="E301" s="515"/>
      <c r="F301" s="515"/>
      <c r="G301" s="515"/>
      <c r="H301" s="820"/>
      <c r="I301" s="515"/>
      <c r="J301" s="515"/>
      <c r="K301" s="515"/>
      <c r="L301" s="820"/>
    </row>
    <row r="302" spans="1:12" ht="12.75">
      <c r="A302" s="821"/>
      <c r="B302" s="821"/>
      <c r="C302" s="821"/>
      <c r="E302" s="821"/>
      <c r="F302" s="821"/>
      <c r="G302" s="821"/>
      <c r="H302" s="808"/>
      <c r="I302" s="821"/>
      <c r="J302" s="821"/>
      <c r="K302" s="821"/>
      <c r="L302" s="808"/>
    </row>
    <row r="303" spans="1:12" ht="12.75">
      <c r="A303" s="821"/>
      <c r="B303" s="821"/>
      <c r="C303" s="821"/>
      <c r="E303" s="821"/>
      <c r="F303" s="821"/>
      <c r="G303" s="821"/>
      <c r="H303" s="808"/>
      <c r="I303" s="821"/>
      <c r="J303" s="821"/>
      <c r="K303" s="821"/>
      <c r="L303" s="808"/>
    </row>
    <row r="304" spans="1:12" ht="12.75">
      <c r="A304" s="821"/>
      <c r="B304" s="821"/>
      <c r="C304" s="821"/>
      <c r="E304" s="821"/>
      <c r="F304" s="821"/>
      <c r="G304" s="821"/>
      <c r="H304" s="808"/>
      <c r="I304" s="821"/>
      <c r="J304" s="821"/>
      <c r="K304" s="821"/>
      <c r="L304" s="808"/>
    </row>
    <row r="305" spans="1:12" ht="12.75">
      <c r="A305" s="821"/>
      <c r="B305" s="821"/>
      <c r="C305" s="821"/>
      <c r="E305" s="821"/>
      <c r="F305" s="821"/>
      <c r="G305" s="821"/>
      <c r="H305" s="808"/>
      <c r="I305" s="821"/>
      <c r="J305" s="821"/>
      <c r="K305" s="821"/>
      <c r="L305" s="808"/>
    </row>
    <row r="306" spans="1:12" ht="12.75">
      <c r="A306" s="821"/>
      <c r="B306" s="821"/>
      <c r="C306" s="821"/>
      <c r="E306" s="821"/>
      <c r="F306" s="821"/>
      <c r="G306" s="821"/>
      <c r="H306" s="808"/>
      <c r="I306" s="821"/>
      <c r="J306" s="821"/>
      <c r="K306" s="821"/>
      <c r="L306" s="808"/>
    </row>
    <row r="307" spans="1:12" ht="12.75">
      <c r="A307" s="821"/>
      <c r="B307" s="821"/>
      <c r="C307" s="821"/>
      <c r="E307" s="821"/>
      <c r="F307" s="821"/>
      <c r="G307" s="821"/>
      <c r="H307" s="808"/>
      <c r="I307" s="821"/>
      <c r="J307" s="821"/>
      <c r="K307" s="821"/>
      <c r="L307" s="808"/>
    </row>
    <row r="308" spans="1:12" ht="12.75">
      <c r="A308" s="821"/>
      <c r="B308" s="821"/>
      <c r="C308" s="821"/>
      <c r="E308" s="821"/>
      <c r="F308" s="821"/>
      <c r="G308" s="821"/>
      <c r="H308" s="808"/>
      <c r="I308" s="821"/>
      <c r="J308" s="821"/>
      <c r="K308" s="821"/>
      <c r="L308" s="808"/>
    </row>
    <row r="309" spans="1:12" ht="12.75">
      <c r="A309" s="821"/>
      <c r="B309" s="821"/>
      <c r="C309" s="821"/>
      <c r="E309" s="821"/>
      <c r="F309" s="821"/>
      <c r="G309" s="821"/>
      <c r="H309" s="808"/>
      <c r="I309" s="821"/>
      <c r="J309" s="821"/>
      <c r="K309" s="821"/>
      <c r="L309" s="808"/>
    </row>
    <row r="310" spans="1:12" ht="12.75">
      <c r="A310" s="821"/>
      <c r="B310" s="821"/>
      <c r="C310" s="821"/>
      <c r="E310" s="821"/>
      <c r="F310" s="821"/>
      <c r="G310" s="821"/>
      <c r="H310" s="808"/>
      <c r="I310" s="821"/>
      <c r="J310" s="821"/>
      <c r="K310" s="821"/>
      <c r="L310" s="808"/>
    </row>
    <row r="311" spans="1:12" ht="12.75">
      <c r="A311" s="821"/>
      <c r="B311" s="821"/>
      <c r="C311" s="821"/>
      <c r="E311" s="821"/>
      <c r="F311" s="821"/>
      <c r="G311" s="821"/>
      <c r="H311" s="808"/>
      <c r="I311" s="821"/>
      <c r="J311" s="821"/>
      <c r="K311" s="821"/>
      <c r="L311" s="808"/>
    </row>
    <row r="312" spans="1:12" ht="12.75">
      <c r="A312" s="821"/>
      <c r="B312" s="821"/>
      <c r="C312" s="821"/>
      <c r="E312" s="821"/>
      <c r="F312" s="821"/>
      <c r="G312" s="821"/>
      <c r="H312" s="808"/>
      <c r="I312" s="821"/>
      <c r="J312" s="821"/>
      <c r="K312" s="821"/>
      <c r="L312" s="808"/>
    </row>
    <row r="313" spans="1:12" ht="12.75">
      <c r="A313" s="821"/>
      <c r="B313" s="821"/>
      <c r="C313" s="821"/>
      <c r="E313" s="821"/>
      <c r="F313" s="821"/>
      <c r="G313" s="821"/>
      <c r="H313" s="808"/>
      <c r="I313" s="821"/>
      <c r="J313" s="821"/>
      <c r="K313" s="821"/>
      <c r="L313" s="808"/>
    </row>
    <row r="314" spans="1:12" ht="12.75">
      <c r="A314" s="821"/>
      <c r="B314" s="821"/>
      <c r="C314" s="821"/>
      <c r="E314" s="821"/>
      <c r="F314" s="821"/>
      <c r="G314" s="821"/>
      <c r="H314" s="808"/>
      <c r="I314" s="821"/>
      <c r="J314" s="821"/>
      <c r="K314" s="821"/>
      <c r="L314" s="808"/>
    </row>
    <row r="315" spans="1:12" ht="12.75">
      <c r="A315" s="821"/>
      <c r="B315" s="821"/>
      <c r="C315" s="821"/>
      <c r="E315" s="821"/>
      <c r="F315" s="821"/>
      <c r="G315" s="821"/>
      <c r="H315" s="808"/>
      <c r="I315" s="821"/>
      <c r="J315" s="821"/>
      <c r="K315" s="821"/>
      <c r="L315" s="808"/>
    </row>
    <row r="316" spans="1:12" ht="12.75">
      <c r="A316" s="821"/>
      <c r="B316" s="821"/>
      <c r="C316" s="821"/>
      <c r="E316" s="821"/>
      <c r="F316" s="821"/>
      <c r="G316" s="821"/>
      <c r="H316" s="808"/>
      <c r="I316" s="821"/>
      <c r="J316" s="821"/>
      <c r="K316" s="821"/>
      <c r="L316" s="808"/>
    </row>
    <row r="317" spans="1:12" ht="12.75">
      <c r="A317" s="821"/>
      <c r="B317" s="821"/>
      <c r="C317" s="821"/>
      <c r="E317" s="821"/>
      <c r="F317" s="821"/>
      <c r="G317" s="821"/>
      <c r="H317" s="808"/>
      <c r="I317" s="821"/>
      <c r="J317" s="821"/>
      <c r="K317" s="821"/>
      <c r="L317" s="808"/>
    </row>
    <row r="318" spans="1:12" ht="12.75">
      <c r="A318" s="821"/>
      <c r="B318" s="821"/>
      <c r="C318" s="821"/>
      <c r="E318" s="821"/>
      <c r="F318" s="821"/>
      <c r="G318" s="821"/>
      <c r="H318" s="808"/>
      <c r="I318" s="821"/>
      <c r="J318" s="821"/>
      <c r="K318" s="821"/>
      <c r="L318" s="808"/>
    </row>
    <row r="319" spans="1:12" ht="12.75">
      <c r="A319" s="821"/>
      <c r="B319" s="821"/>
      <c r="C319" s="821"/>
      <c r="E319" s="821"/>
      <c r="F319" s="821"/>
      <c r="G319" s="821"/>
      <c r="H319" s="808"/>
      <c r="I319" s="821"/>
      <c r="J319" s="821"/>
      <c r="K319" s="821"/>
      <c r="L319" s="808"/>
    </row>
    <row r="320" spans="1:12" ht="12.75">
      <c r="A320" s="821"/>
      <c r="B320" s="821"/>
      <c r="C320" s="821"/>
      <c r="E320" s="821"/>
      <c r="F320" s="821"/>
      <c r="G320" s="821"/>
      <c r="H320" s="808"/>
      <c r="I320" s="821"/>
      <c r="J320" s="821"/>
      <c r="K320" s="821"/>
      <c r="L320" s="808"/>
    </row>
    <row r="321" spans="1:12" ht="12.75">
      <c r="A321" s="821"/>
      <c r="B321" s="821"/>
      <c r="C321" s="821"/>
      <c r="E321" s="821"/>
      <c r="F321" s="821"/>
      <c r="G321" s="821"/>
      <c r="H321" s="808"/>
      <c r="I321" s="821"/>
      <c r="J321" s="821"/>
      <c r="K321" s="821"/>
      <c r="L321" s="808"/>
    </row>
    <row r="322" spans="1:12" ht="12.75">
      <c r="A322" s="821"/>
      <c r="B322" s="821"/>
      <c r="C322" s="821"/>
      <c r="E322" s="821"/>
      <c r="F322" s="821"/>
      <c r="G322" s="821"/>
      <c r="H322" s="808"/>
      <c r="I322" s="821"/>
      <c r="J322" s="821"/>
      <c r="K322" s="821"/>
      <c r="L322" s="808"/>
    </row>
    <row r="323" spans="1:12" ht="12.75">
      <c r="A323" s="821"/>
      <c r="B323" s="821"/>
      <c r="C323" s="821"/>
      <c r="E323" s="821"/>
      <c r="F323" s="821"/>
      <c r="G323" s="821"/>
      <c r="H323" s="808"/>
      <c r="I323" s="821"/>
      <c r="J323" s="821"/>
      <c r="K323" s="821"/>
      <c r="L323" s="808"/>
    </row>
    <row r="324" spans="1:12" ht="12.75">
      <c r="A324" s="821"/>
      <c r="B324" s="821"/>
      <c r="C324" s="821"/>
      <c r="E324" s="821"/>
      <c r="F324" s="821"/>
      <c r="G324" s="821"/>
      <c r="H324" s="808"/>
      <c r="I324" s="821"/>
      <c r="J324" s="821"/>
      <c r="K324" s="821"/>
      <c r="L324" s="808"/>
    </row>
    <row r="325" spans="1:12" ht="12.75">
      <c r="A325" s="821"/>
      <c r="B325" s="821"/>
      <c r="C325" s="821"/>
      <c r="E325" s="821"/>
      <c r="F325" s="821"/>
      <c r="G325" s="821"/>
      <c r="H325" s="808"/>
      <c r="I325" s="821"/>
      <c r="J325" s="821"/>
      <c r="K325" s="821"/>
      <c r="L325" s="808"/>
    </row>
    <row r="326" spans="1:12" ht="12.75">
      <c r="A326" s="821"/>
      <c r="B326" s="821"/>
      <c r="C326" s="821"/>
      <c r="E326" s="821"/>
      <c r="F326" s="821"/>
      <c r="G326" s="821"/>
      <c r="H326" s="808"/>
      <c r="I326" s="821"/>
      <c r="J326" s="821"/>
      <c r="K326" s="821"/>
      <c r="L326" s="808"/>
    </row>
    <row r="327" spans="1:12" ht="12.75">
      <c r="A327" s="821"/>
      <c r="B327" s="821"/>
      <c r="C327" s="821"/>
      <c r="E327" s="821"/>
      <c r="F327" s="821"/>
      <c r="G327" s="821"/>
      <c r="H327" s="808"/>
      <c r="I327" s="821"/>
      <c r="J327" s="821"/>
      <c r="K327" s="821"/>
      <c r="L327" s="808"/>
    </row>
    <row r="328" spans="1:12" ht="12.75">
      <c r="A328" s="821"/>
      <c r="B328" s="821"/>
      <c r="C328" s="821"/>
      <c r="E328" s="821"/>
      <c r="F328" s="821"/>
      <c r="G328" s="821"/>
      <c r="H328" s="808"/>
      <c r="I328" s="821"/>
      <c r="J328" s="821"/>
      <c r="K328" s="821"/>
      <c r="L328" s="808"/>
    </row>
    <row r="329" spans="1:12" ht="12.75">
      <c r="A329" s="821"/>
      <c r="B329" s="821"/>
      <c r="C329" s="821"/>
      <c r="E329" s="821"/>
      <c r="F329" s="821"/>
      <c r="G329" s="821"/>
      <c r="H329" s="808"/>
      <c r="I329" s="821"/>
      <c r="J329" s="821"/>
      <c r="K329" s="821"/>
      <c r="L329" s="808"/>
    </row>
    <row r="330" spans="1:12" ht="12.75">
      <c r="A330" s="821"/>
      <c r="B330" s="821"/>
      <c r="C330" s="821"/>
      <c r="E330" s="821"/>
      <c r="F330" s="821"/>
      <c r="G330" s="821"/>
      <c r="H330" s="808"/>
      <c r="I330" s="821"/>
      <c r="J330" s="821"/>
      <c r="K330" s="821"/>
      <c r="L330" s="808"/>
    </row>
    <row r="331" spans="1:12" ht="12.75">
      <c r="A331" s="821"/>
      <c r="B331" s="821"/>
      <c r="C331" s="821"/>
      <c r="E331" s="821"/>
      <c r="F331" s="821"/>
      <c r="G331" s="821"/>
      <c r="H331" s="808"/>
      <c r="I331" s="821"/>
      <c r="J331" s="821"/>
      <c r="K331" s="821"/>
      <c r="L331" s="808"/>
    </row>
    <row r="332" spans="1:12" ht="12.75">
      <c r="A332" s="821"/>
      <c r="B332" s="821"/>
      <c r="C332" s="821"/>
      <c r="H332" s="808"/>
      <c r="L332" s="808"/>
    </row>
    <row r="333" spans="1:12" ht="12.75">
      <c r="A333" s="821"/>
      <c r="B333" s="821"/>
      <c r="C333" s="821"/>
      <c r="H333" s="808"/>
      <c r="L333" s="808"/>
    </row>
    <row r="334" spans="1:12" ht="12.75">
      <c r="A334" s="821"/>
      <c r="B334" s="821"/>
      <c r="C334" s="821"/>
      <c r="H334" s="808"/>
      <c r="L334" s="808"/>
    </row>
    <row r="335" spans="1:12" ht="12.75">
      <c r="A335" s="821"/>
      <c r="B335" s="821"/>
      <c r="C335" s="821"/>
      <c r="H335" s="808"/>
      <c r="L335" s="808"/>
    </row>
    <row r="336" spans="1:12" ht="12.75">
      <c r="A336" s="821"/>
      <c r="B336" s="821"/>
      <c r="C336" s="821"/>
      <c r="H336" s="808"/>
      <c r="L336" s="808"/>
    </row>
    <row r="337" spans="1:12" ht="12.75">
      <c r="A337" s="821"/>
      <c r="B337" s="821"/>
      <c r="C337" s="821"/>
      <c r="H337" s="808"/>
      <c r="L337" s="808"/>
    </row>
    <row r="338" spans="1:12" ht="12.75">
      <c r="A338" s="821"/>
      <c r="B338" s="821"/>
      <c r="C338" s="821"/>
      <c r="H338" s="808"/>
      <c r="L338" s="808"/>
    </row>
    <row r="339" spans="1:12" ht="12.75">
      <c r="A339" s="821"/>
      <c r="B339" s="821"/>
      <c r="C339" s="821"/>
      <c r="H339" s="808"/>
      <c r="L339" s="808"/>
    </row>
    <row r="340" spans="1:12" ht="12.75">
      <c r="A340" s="821"/>
      <c r="B340" s="821"/>
      <c r="C340" s="821"/>
      <c r="H340" s="808"/>
      <c r="L340" s="808"/>
    </row>
    <row r="341" spans="1:12" ht="12.75">
      <c r="A341" s="821"/>
      <c r="B341" s="821"/>
      <c r="C341" s="821"/>
      <c r="H341" s="808"/>
      <c r="L341" s="808"/>
    </row>
    <row r="342" spans="1:12" ht="12.75">
      <c r="A342" s="821"/>
      <c r="B342" s="821"/>
      <c r="C342" s="821"/>
      <c r="H342" s="808"/>
      <c r="L342" s="808"/>
    </row>
    <row r="343" spans="1:12" ht="12.75">
      <c r="A343" s="821"/>
      <c r="B343" s="821"/>
      <c r="C343" s="821"/>
      <c r="H343" s="808"/>
      <c r="L343" s="808"/>
    </row>
    <row r="344" spans="1:12" ht="12.75">
      <c r="A344" s="821"/>
      <c r="B344" s="821"/>
      <c r="C344" s="821"/>
      <c r="H344" s="808"/>
      <c r="L344" s="808"/>
    </row>
    <row r="345" spans="1:12" ht="12.75">
      <c r="A345" s="821"/>
      <c r="B345" s="821"/>
      <c r="C345" s="821"/>
      <c r="H345" s="808"/>
      <c r="L345" s="808"/>
    </row>
    <row r="346" spans="1:12" ht="12.75">
      <c r="A346" s="821"/>
      <c r="B346" s="821"/>
      <c r="C346" s="821"/>
      <c r="H346" s="808"/>
      <c r="L346" s="808"/>
    </row>
    <row r="347" spans="1:12" ht="12.75">
      <c r="A347" s="821"/>
      <c r="B347" s="821"/>
      <c r="C347" s="821"/>
      <c r="H347" s="808"/>
      <c r="L347" s="808"/>
    </row>
    <row r="348" spans="1:12" ht="12.75">
      <c r="A348" s="821"/>
      <c r="B348" s="821"/>
      <c r="C348" s="821"/>
      <c r="H348" s="808"/>
      <c r="L348" s="808"/>
    </row>
    <row r="349" spans="1:12" ht="12.75">
      <c r="A349" s="821"/>
      <c r="B349" s="821"/>
      <c r="C349" s="821"/>
      <c r="H349" s="808"/>
      <c r="L349" s="808"/>
    </row>
    <row r="350" spans="1:12" ht="12.75">
      <c r="A350" s="821"/>
      <c r="B350" s="821"/>
      <c r="C350" s="821"/>
      <c r="H350" s="808"/>
      <c r="L350" s="808"/>
    </row>
    <row r="351" spans="1:12" ht="12.75">
      <c r="A351" s="821"/>
      <c r="B351" s="821"/>
      <c r="C351" s="821"/>
      <c r="H351" s="808"/>
      <c r="L351" s="808"/>
    </row>
    <row r="352" spans="1:12" ht="12.75">
      <c r="A352" s="821"/>
      <c r="B352" s="821"/>
      <c r="C352" s="821"/>
      <c r="H352" s="808"/>
      <c r="L352" s="808"/>
    </row>
    <row r="353" spans="1:12" ht="12.75">
      <c r="A353" s="821"/>
      <c r="B353" s="821"/>
      <c r="C353" s="821"/>
      <c r="H353" s="808"/>
      <c r="L353" s="808"/>
    </row>
    <row r="354" spans="1:12" ht="12.75">
      <c r="A354" s="821"/>
      <c r="B354" s="821"/>
      <c r="C354" s="821"/>
      <c r="H354" s="808"/>
      <c r="L354" s="808"/>
    </row>
    <row r="355" spans="1:12" ht="12.75">
      <c r="A355" s="821"/>
      <c r="B355" s="821"/>
      <c r="C355" s="821"/>
      <c r="H355" s="808"/>
      <c r="L355" s="808"/>
    </row>
    <row r="356" spans="1:12" ht="12.75">
      <c r="A356" s="821"/>
      <c r="B356" s="821"/>
      <c r="C356" s="821"/>
      <c r="H356" s="808"/>
      <c r="L356" s="808"/>
    </row>
    <row r="357" spans="1:12" ht="12.75">
      <c r="A357" s="821"/>
      <c r="B357" s="821"/>
      <c r="C357" s="821"/>
      <c r="H357" s="808"/>
      <c r="L357" s="808"/>
    </row>
    <row r="358" spans="1:12" ht="12.75">
      <c r="A358" s="821"/>
      <c r="B358" s="821"/>
      <c r="C358" s="821"/>
      <c r="H358" s="808"/>
      <c r="L358" s="808"/>
    </row>
    <row r="359" spans="1:12" ht="12.75">
      <c r="A359" s="821"/>
      <c r="B359" s="821"/>
      <c r="C359" s="821"/>
      <c r="H359" s="808"/>
      <c r="L359" s="808"/>
    </row>
    <row r="360" spans="1:12" ht="12.75">
      <c r="A360" s="821"/>
      <c r="B360" s="821"/>
      <c r="C360" s="821"/>
      <c r="H360" s="808"/>
      <c r="L360" s="808"/>
    </row>
    <row r="361" spans="1:12" ht="12.75">
      <c r="A361" s="821"/>
      <c r="B361" s="821"/>
      <c r="C361" s="821"/>
      <c r="H361" s="808"/>
      <c r="L361" s="808"/>
    </row>
    <row r="362" spans="1:12" ht="12.75">
      <c r="A362" s="821"/>
      <c r="B362" s="821"/>
      <c r="C362" s="821"/>
      <c r="H362" s="808"/>
      <c r="L362" s="808"/>
    </row>
    <row r="363" spans="1:12" ht="12.75">
      <c r="A363" s="821"/>
      <c r="B363" s="821"/>
      <c r="C363" s="821"/>
      <c r="H363" s="808"/>
      <c r="L363" s="808"/>
    </row>
    <row r="364" spans="1:12" ht="12.75">
      <c r="A364" s="821"/>
      <c r="B364" s="821"/>
      <c r="C364" s="821"/>
      <c r="H364" s="808"/>
      <c r="L364" s="808"/>
    </row>
    <row r="365" spans="1:12" ht="12.75">
      <c r="A365" s="821"/>
      <c r="B365" s="821"/>
      <c r="C365" s="821"/>
      <c r="H365" s="808"/>
      <c r="L365" s="808"/>
    </row>
    <row r="366" spans="1:12" ht="12.75">
      <c r="A366" s="821"/>
      <c r="B366" s="821"/>
      <c r="C366" s="821"/>
      <c r="H366" s="808"/>
      <c r="L366" s="808"/>
    </row>
    <row r="367" spans="1:12" ht="12.75">
      <c r="A367" s="821"/>
      <c r="B367" s="821"/>
      <c r="C367" s="821"/>
      <c r="H367" s="808"/>
      <c r="L367" s="808"/>
    </row>
    <row r="368" spans="1:12" ht="12.75">
      <c r="A368" s="821"/>
      <c r="B368" s="821"/>
      <c r="C368" s="821"/>
      <c r="H368" s="808"/>
      <c r="L368" s="808"/>
    </row>
    <row r="369" spans="1:12" ht="12.75">
      <c r="A369" s="821"/>
      <c r="B369" s="821"/>
      <c r="C369" s="821"/>
      <c r="H369" s="808"/>
      <c r="L369" s="808"/>
    </row>
    <row r="370" spans="1:12" ht="12.75">
      <c r="A370" s="821"/>
      <c r="B370" s="821"/>
      <c r="C370" s="821"/>
      <c r="H370" s="808"/>
      <c r="L370" s="808"/>
    </row>
    <row r="371" spans="1:12" ht="12.75">
      <c r="A371" s="821"/>
      <c r="B371" s="821"/>
      <c r="C371" s="821"/>
      <c r="H371" s="808"/>
      <c r="L371" s="808"/>
    </row>
    <row r="372" spans="1:12" ht="12.75">
      <c r="A372" s="821"/>
      <c r="B372" s="821"/>
      <c r="C372" s="821"/>
      <c r="H372" s="808"/>
      <c r="L372" s="808"/>
    </row>
    <row r="373" spans="1:12" ht="12.75">
      <c r="A373" s="821"/>
      <c r="B373" s="821"/>
      <c r="C373" s="821"/>
      <c r="H373" s="808"/>
      <c r="L373" s="808"/>
    </row>
    <row r="374" spans="1:12" ht="12.75">
      <c r="A374" s="821"/>
      <c r="B374" s="821"/>
      <c r="C374" s="821"/>
      <c r="H374" s="808"/>
      <c r="L374" s="808"/>
    </row>
    <row r="375" spans="1:12" ht="12.75">
      <c r="A375" s="821"/>
      <c r="B375" s="821"/>
      <c r="C375" s="821"/>
      <c r="H375" s="808"/>
      <c r="L375" s="808"/>
    </row>
    <row r="376" spans="1:12" ht="12.75">
      <c r="A376" s="821"/>
      <c r="B376" s="821"/>
      <c r="C376" s="821"/>
      <c r="H376" s="808"/>
      <c r="L376" s="808"/>
    </row>
    <row r="377" spans="1:12" ht="12.75">
      <c r="A377" s="821"/>
      <c r="B377" s="821"/>
      <c r="C377" s="821"/>
      <c r="H377" s="808"/>
      <c r="L377" s="808"/>
    </row>
    <row r="378" spans="1:12" ht="12.75">
      <c r="A378" s="821"/>
      <c r="B378" s="821"/>
      <c r="C378" s="821"/>
      <c r="H378" s="808"/>
      <c r="L378" s="808"/>
    </row>
    <row r="379" spans="1:12" ht="12.75">
      <c r="A379" s="821"/>
      <c r="B379" s="821"/>
      <c r="C379" s="821"/>
      <c r="H379" s="808"/>
      <c r="L379" s="808"/>
    </row>
    <row r="380" spans="1:12" ht="12.75">
      <c r="A380" s="821"/>
      <c r="B380" s="821"/>
      <c r="C380" s="821"/>
      <c r="H380" s="808"/>
      <c r="L380" s="808"/>
    </row>
    <row r="381" spans="1:12" ht="12.75">
      <c r="A381" s="821"/>
      <c r="B381" s="821"/>
      <c r="C381" s="821"/>
      <c r="H381" s="808"/>
      <c r="L381" s="808"/>
    </row>
    <row r="382" spans="1:12" ht="12.75">
      <c r="A382" s="821"/>
      <c r="B382" s="821"/>
      <c r="C382" s="821"/>
      <c r="H382" s="808"/>
      <c r="L382" s="808"/>
    </row>
    <row r="383" spans="1:12" ht="12.75">
      <c r="A383" s="821"/>
      <c r="B383" s="821"/>
      <c r="C383" s="821"/>
      <c r="H383" s="808"/>
      <c r="L383" s="808"/>
    </row>
    <row r="384" spans="1:12" ht="12.75">
      <c r="A384" s="821"/>
      <c r="B384" s="821"/>
      <c r="C384" s="821"/>
      <c r="H384" s="808"/>
      <c r="L384" s="808"/>
    </row>
    <row r="385" spans="1:12" ht="12.75">
      <c r="A385" s="821"/>
      <c r="B385" s="821"/>
      <c r="C385" s="821"/>
      <c r="H385" s="808"/>
      <c r="L385" s="808"/>
    </row>
    <row r="386" spans="1:12" ht="12.75">
      <c r="A386" s="821"/>
      <c r="B386" s="821"/>
      <c r="C386" s="821"/>
      <c r="H386" s="808"/>
      <c r="L386" s="808"/>
    </row>
    <row r="387" spans="1:12" ht="12.75">
      <c r="A387" s="821"/>
      <c r="B387" s="821"/>
      <c r="C387" s="821"/>
      <c r="H387" s="808"/>
      <c r="L387" s="808"/>
    </row>
    <row r="388" spans="1:12" ht="12.75">
      <c r="A388" s="821"/>
      <c r="B388" s="821"/>
      <c r="C388" s="821"/>
      <c r="H388" s="808"/>
      <c r="L388" s="808"/>
    </row>
    <row r="389" spans="1:12" ht="12.75">
      <c r="A389" s="821"/>
      <c r="B389" s="821"/>
      <c r="C389" s="821"/>
      <c r="H389" s="808"/>
      <c r="L389" s="808"/>
    </row>
    <row r="390" spans="1:12" ht="12.75">
      <c r="A390" s="821"/>
      <c r="B390" s="821"/>
      <c r="C390" s="821"/>
      <c r="H390" s="808"/>
      <c r="L390" s="808"/>
    </row>
    <row r="391" spans="1:12" ht="12.75">
      <c r="A391" s="821"/>
      <c r="B391" s="821"/>
      <c r="C391" s="821"/>
      <c r="H391" s="808"/>
      <c r="L391" s="808"/>
    </row>
    <row r="392" spans="1:12" ht="12.75">
      <c r="A392" s="821"/>
      <c r="B392" s="821"/>
      <c r="C392" s="821"/>
      <c r="H392" s="808"/>
      <c r="L392" s="808"/>
    </row>
    <row r="393" spans="1:12" ht="12.75">
      <c r="A393" s="821"/>
      <c r="B393" s="821"/>
      <c r="C393" s="821"/>
      <c r="H393" s="808"/>
      <c r="L393" s="808"/>
    </row>
    <row r="394" spans="1:12" ht="12.75">
      <c r="A394" s="821"/>
      <c r="B394" s="821"/>
      <c r="C394" s="821"/>
      <c r="H394" s="808"/>
      <c r="L394" s="808"/>
    </row>
    <row r="395" spans="1:12" ht="12.75">
      <c r="A395" s="821"/>
      <c r="B395" s="821"/>
      <c r="C395" s="821"/>
      <c r="H395" s="808"/>
      <c r="L395" s="808"/>
    </row>
    <row r="396" spans="1:12" ht="12.75">
      <c r="A396" s="821"/>
      <c r="B396" s="821"/>
      <c r="C396" s="821"/>
      <c r="H396" s="808"/>
      <c r="L396" s="808"/>
    </row>
    <row r="397" spans="1:12" ht="12.75">
      <c r="A397" s="821"/>
      <c r="B397" s="821"/>
      <c r="C397" s="821"/>
      <c r="H397" s="808"/>
      <c r="L397" s="808"/>
    </row>
    <row r="398" spans="1:12" ht="12.75">
      <c r="A398" s="821"/>
      <c r="B398" s="821"/>
      <c r="C398" s="821"/>
      <c r="H398" s="808"/>
      <c r="L398" s="808"/>
    </row>
    <row r="399" spans="1:12" ht="12.75">
      <c r="A399" s="821"/>
      <c r="B399" s="821"/>
      <c r="C399" s="821"/>
      <c r="H399" s="808"/>
      <c r="L399" s="808"/>
    </row>
    <row r="400" spans="1:12" ht="12.75">
      <c r="A400" s="821"/>
      <c r="B400" s="821"/>
      <c r="C400" s="821"/>
      <c r="H400" s="808"/>
      <c r="L400" s="808"/>
    </row>
    <row r="401" spans="1:12" ht="12.75">
      <c r="A401" s="821"/>
      <c r="B401" s="821"/>
      <c r="C401" s="821"/>
      <c r="H401" s="808"/>
      <c r="L401" s="808"/>
    </row>
    <row r="402" spans="1:12" ht="12.75">
      <c r="A402" s="821"/>
      <c r="B402" s="821"/>
      <c r="C402" s="821"/>
      <c r="H402" s="808"/>
      <c r="L402" s="808"/>
    </row>
    <row r="403" spans="1:12" ht="12.75">
      <c r="A403" s="821"/>
      <c r="B403" s="821"/>
      <c r="C403" s="821"/>
      <c r="H403" s="808"/>
      <c r="L403" s="808"/>
    </row>
    <row r="404" spans="1:12" ht="12.75">
      <c r="A404" s="821"/>
      <c r="B404" s="821"/>
      <c r="C404" s="821"/>
      <c r="H404" s="808"/>
      <c r="L404" s="808"/>
    </row>
    <row r="405" spans="1:12" ht="12.75">
      <c r="A405" s="821"/>
      <c r="B405" s="821"/>
      <c r="C405" s="821"/>
      <c r="H405" s="808"/>
      <c r="L405" s="808"/>
    </row>
    <row r="406" spans="1:12" ht="12.75">
      <c r="A406" s="821"/>
      <c r="B406" s="821"/>
      <c r="C406" s="821"/>
      <c r="H406" s="808"/>
      <c r="L406" s="808"/>
    </row>
    <row r="407" spans="1:12" ht="12.75">
      <c r="A407" s="821"/>
      <c r="B407" s="821"/>
      <c r="C407" s="821"/>
      <c r="H407" s="808"/>
      <c r="L407" s="808"/>
    </row>
    <row r="408" spans="1:12" ht="12.75">
      <c r="A408" s="821"/>
      <c r="B408" s="821"/>
      <c r="C408" s="821"/>
      <c r="H408" s="808"/>
      <c r="L408" s="808"/>
    </row>
    <row r="409" spans="1:12" ht="12.75">
      <c r="A409" s="821"/>
      <c r="B409" s="821"/>
      <c r="C409" s="821"/>
      <c r="H409" s="808"/>
      <c r="L409" s="808"/>
    </row>
    <row r="410" spans="1:12" ht="12.75">
      <c r="A410" s="821"/>
      <c r="B410" s="821"/>
      <c r="C410" s="821"/>
      <c r="H410" s="808"/>
      <c r="L410" s="808"/>
    </row>
    <row r="411" spans="1:12" ht="12.75">
      <c r="A411" s="821"/>
      <c r="B411" s="821"/>
      <c r="C411" s="821"/>
      <c r="H411" s="808"/>
      <c r="L411" s="808"/>
    </row>
    <row r="412" spans="1:12" ht="12.75">
      <c r="A412" s="821"/>
      <c r="B412" s="821"/>
      <c r="C412" s="821"/>
      <c r="H412" s="808"/>
      <c r="L412" s="808"/>
    </row>
    <row r="413" spans="1:12" ht="12.75">
      <c r="A413" s="821"/>
      <c r="B413" s="821"/>
      <c r="C413" s="821"/>
      <c r="H413" s="808"/>
      <c r="L413" s="808"/>
    </row>
    <row r="414" spans="1:12" ht="12.75">
      <c r="A414" s="821"/>
      <c r="B414" s="821"/>
      <c r="C414" s="821"/>
      <c r="H414" s="808"/>
      <c r="L414" s="808"/>
    </row>
    <row r="415" spans="1:12" ht="12.75">
      <c r="A415" s="821"/>
      <c r="B415" s="821"/>
      <c r="C415" s="821"/>
      <c r="H415" s="808"/>
      <c r="L415" s="808"/>
    </row>
    <row r="416" spans="1:12" ht="12.75">
      <c r="A416" s="821"/>
      <c r="B416" s="821"/>
      <c r="C416" s="821"/>
      <c r="H416" s="808"/>
      <c r="L416" s="808"/>
    </row>
    <row r="417" spans="1:12" ht="12.75">
      <c r="A417" s="821"/>
      <c r="B417" s="821"/>
      <c r="C417" s="821"/>
      <c r="H417" s="808"/>
      <c r="L417" s="808"/>
    </row>
    <row r="418" spans="1:12" ht="12.75">
      <c r="A418" s="821"/>
      <c r="B418" s="821"/>
      <c r="C418" s="821"/>
      <c r="H418" s="808"/>
      <c r="L418" s="808"/>
    </row>
    <row r="419" spans="1:12" ht="12.75">
      <c r="A419" s="821"/>
      <c r="B419" s="821"/>
      <c r="C419" s="821"/>
      <c r="H419" s="808"/>
      <c r="L419" s="808"/>
    </row>
    <row r="420" spans="1:12" ht="12.75">
      <c r="A420" s="821"/>
      <c r="B420" s="821"/>
      <c r="C420" s="821"/>
      <c r="H420" s="808"/>
      <c r="L420" s="808"/>
    </row>
    <row r="421" spans="1:12" ht="12.75">
      <c r="A421" s="821"/>
      <c r="B421" s="821"/>
      <c r="C421" s="821"/>
      <c r="H421" s="808"/>
      <c r="L421" s="808"/>
    </row>
    <row r="422" spans="1:12" ht="12.75">
      <c r="A422" s="821"/>
      <c r="B422" s="821"/>
      <c r="C422" s="821"/>
      <c r="H422" s="808"/>
      <c r="L422" s="808"/>
    </row>
    <row r="423" spans="1:12" ht="12.75">
      <c r="A423" s="821"/>
      <c r="B423" s="821"/>
      <c r="C423" s="821"/>
      <c r="H423" s="808"/>
      <c r="L423" s="808"/>
    </row>
    <row r="424" spans="1:12" ht="12.75">
      <c r="A424" s="821"/>
      <c r="B424" s="821"/>
      <c r="C424" s="821"/>
      <c r="H424" s="808"/>
      <c r="L424" s="808"/>
    </row>
    <row r="425" spans="1:12" ht="12.75">
      <c r="A425" s="821"/>
      <c r="B425" s="821"/>
      <c r="C425" s="821"/>
      <c r="H425" s="808"/>
      <c r="L425" s="808"/>
    </row>
    <row r="426" spans="1:12" ht="12.75">
      <c r="A426" s="821"/>
      <c r="B426" s="821"/>
      <c r="C426" s="821"/>
      <c r="H426" s="808"/>
      <c r="L426" s="808"/>
    </row>
    <row r="427" spans="1:12" ht="12.75">
      <c r="A427" s="821"/>
      <c r="B427" s="821"/>
      <c r="C427" s="821"/>
      <c r="H427" s="808"/>
      <c r="L427" s="808"/>
    </row>
    <row r="428" spans="1:12" ht="12.75">
      <c r="A428" s="821"/>
      <c r="B428" s="821"/>
      <c r="C428" s="821"/>
      <c r="H428" s="808"/>
      <c r="L428" s="808"/>
    </row>
    <row r="429" spans="1:12" ht="12.75">
      <c r="A429" s="821"/>
      <c r="B429" s="821"/>
      <c r="C429" s="821"/>
      <c r="H429" s="808"/>
      <c r="L429" s="808"/>
    </row>
    <row r="430" spans="1:12" ht="12.75">
      <c r="A430" s="821"/>
      <c r="B430" s="821"/>
      <c r="C430" s="821"/>
      <c r="H430" s="808"/>
      <c r="L430" s="808"/>
    </row>
    <row r="431" spans="1:12" ht="12.75">
      <c r="A431" s="821"/>
      <c r="B431" s="821"/>
      <c r="C431" s="821"/>
      <c r="H431" s="808"/>
      <c r="L431" s="808"/>
    </row>
    <row r="432" spans="1:12" ht="12.75">
      <c r="A432" s="821"/>
      <c r="B432" s="821"/>
      <c r="C432" s="821"/>
      <c r="H432" s="808"/>
      <c r="L432" s="808"/>
    </row>
    <row r="433" spans="1:12" ht="12.75">
      <c r="A433" s="821"/>
      <c r="B433" s="821"/>
      <c r="C433" s="821"/>
      <c r="H433" s="808"/>
      <c r="L433" s="808"/>
    </row>
    <row r="434" spans="1:12" ht="12.75">
      <c r="A434" s="821"/>
      <c r="B434" s="821"/>
      <c r="C434" s="821"/>
      <c r="H434" s="808"/>
      <c r="L434" s="808"/>
    </row>
    <row r="435" spans="8:12" ht="12.75">
      <c r="H435" s="808"/>
      <c r="L435" s="808"/>
    </row>
    <row r="436" spans="8:12" ht="12.75">
      <c r="H436" s="808"/>
      <c r="L436" s="808"/>
    </row>
    <row r="437" spans="8:12" ht="12.75">
      <c r="H437" s="808"/>
      <c r="L437" s="808"/>
    </row>
    <row r="438" spans="8:12" ht="12.75">
      <c r="H438" s="808"/>
      <c r="L438" s="808"/>
    </row>
    <row r="439" spans="8:12" ht="12.75">
      <c r="H439" s="808"/>
      <c r="L439" s="808"/>
    </row>
    <row r="440" spans="8:12" ht="12.75">
      <c r="H440" s="808"/>
      <c r="L440" s="808"/>
    </row>
    <row r="441" spans="8:12" ht="12.75">
      <c r="H441" s="808"/>
      <c r="L441" s="808"/>
    </row>
    <row r="442" spans="8:12" ht="12.75">
      <c r="H442" s="808"/>
      <c r="L442" s="808"/>
    </row>
    <row r="443" spans="8:12" ht="12.75">
      <c r="H443" s="808"/>
      <c r="L443" s="808"/>
    </row>
    <row r="444" spans="8:12" ht="12.75">
      <c r="H444" s="808"/>
      <c r="L444" s="808"/>
    </row>
    <row r="445" spans="8:12" ht="12.75">
      <c r="H445" s="808"/>
      <c r="L445" s="808"/>
    </row>
    <row r="446" spans="8:12" ht="12.75">
      <c r="H446" s="808"/>
      <c r="L446" s="808"/>
    </row>
    <row r="447" spans="8:12" ht="12.75">
      <c r="H447" s="808"/>
      <c r="L447" s="808"/>
    </row>
    <row r="448" spans="8:12" ht="12.75">
      <c r="H448" s="808"/>
      <c r="L448" s="808"/>
    </row>
    <row r="449" spans="8:12" ht="12.75">
      <c r="H449" s="808"/>
      <c r="L449" s="808"/>
    </row>
    <row r="450" spans="8:12" ht="12.75">
      <c r="H450" s="808"/>
      <c r="L450" s="808"/>
    </row>
    <row r="451" spans="8:12" ht="12.75">
      <c r="H451" s="808"/>
      <c r="L451" s="808"/>
    </row>
    <row r="452" spans="8:12" ht="12.75">
      <c r="H452" s="808"/>
      <c r="L452" s="808"/>
    </row>
    <row r="453" spans="8:12" ht="12.75">
      <c r="H453" s="808"/>
      <c r="L453" s="808"/>
    </row>
    <row r="454" spans="8:12" ht="12.75">
      <c r="H454" s="808"/>
      <c r="L454" s="808"/>
    </row>
    <row r="455" spans="8:12" ht="12.75">
      <c r="H455" s="808"/>
      <c r="L455" s="808"/>
    </row>
    <row r="456" spans="8:12" ht="12.75">
      <c r="H456" s="808"/>
      <c r="L456" s="808"/>
    </row>
    <row r="457" spans="8:12" ht="12.75">
      <c r="H457" s="808"/>
      <c r="L457" s="808"/>
    </row>
    <row r="458" spans="8:12" ht="12.75">
      <c r="H458" s="808"/>
      <c r="L458" s="808"/>
    </row>
    <row r="459" spans="8:12" ht="12.75">
      <c r="H459" s="808"/>
      <c r="L459" s="808"/>
    </row>
    <row r="460" spans="8:12" ht="12.75">
      <c r="H460" s="808"/>
      <c r="L460" s="808"/>
    </row>
    <row r="461" spans="8:12" ht="12.75">
      <c r="H461" s="808"/>
      <c r="L461" s="808"/>
    </row>
    <row r="462" spans="8:12" ht="12.75">
      <c r="H462" s="808"/>
      <c r="L462" s="808"/>
    </row>
    <row r="463" spans="8:12" ht="12.75">
      <c r="H463" s="808"/>
      <c r="L463" s="808"/>
    </row>
    <row r="464" spans="8:12" ht="12.75">
      <c r="H464" s="808"/>
      <c r="L464" s="808"/>
    </row>
    <row r="465" spans="8:12" ht="12.75">
      <c r="H465" s="808"/>
      <c r="L465" s="808"/>
    </row>
    <row r="466" spans="8:12" ht="12.75">
      <c r="H466" s="808"/>
      <c r="L466" s="808"/>
    </row>
    <row r="467" spans="8:12" ht="12.75">
      <c r="H467" s="808"/>
      <c r="L467" s="808"/>
    </row>
    <row r="468" spans="8:12" ht="12.75">
      <c r="H468" s="808"/>
      <c r="L468" s="808"/>
    </row>
    <row r="469" spans="8:12" ht="12.75">
      <c r="H469" s="808"/>
      <c r="L469" s="808"/>
    </row>
    <row r="470" spans="8:12" ht="12.75">
      <c r="H470" s="808"/>
      <c r="L470" s="808"/>
    </row>
    <row r="471" spans="8:12" ht="12.75">
      <c r="H471" s="808"/>
      <c r="L471" s="808"/>
    </row>
    <row r="472" spans="8:12" ht="12.75">
      <c r="H472" s="808"/>
      <c r="L472" s="808"/>
    </row>
    <row r="473" spans="8:12" ht="12.75">
      <c r="H473" s="808"/>
      <c r="L473" s="808"/>
    </row>
    <row r="474" spans="8:12" ht="12.75">
      <c r="H474" s="808"/>
      <c r="L474" s="808"/>
    </row>
    <row r="475" spans="8:12" ht="12.75">
      <c r="H475" s="808"/>
      <c r="L475" s="808"/>
    </row>
    <row r="476" spans="8:12" ht="12.75">
      <c r="H476" s="808"/>
      <c r="L476" s="808"/>
    </row>
    <row r="477" spans="8:12" ht="12.75">
      <c r="H477" s="808"/>
      <c r="L477" s="808"/>
    </row>
    <row r="478" spans="8:12" ht="12.75">
      <c r="H478" s="808"/>
      <c r="L478" s="808"/>
    </row>
    <row r="479" spans="8:12" ht="12.75">
      <c r="H479" s="808"/>
      <c r="L479" s="808"/>
    </row>
    <row r="480" spans="8:12" ht="12.75">
      <c r="H480" s="808"/>
      <c r="L480" s="808"/>
    </row>
    <row r="481" spans="8:12" ht="12.75">
      <c r="H481" s="808"/>
      <c r="L481" s="808"/>
    </row>
    <row r="482" spans="8:12" ht="12.75">
      <c r="H482" s="808"/>
      <c r="L482" s="808"/>
    </row>
    <row r="483" spans="8:12" ht="12.75">
      <c r="H483" s="808"/>
      <c r="L483" s="808"/>
    </row>
    <row r="484" spans="8:12" ht="12.75">
      <c r="H484" s="808"/>
      <c r="L484" s="808"/>
    </row>
    <row r="485" spans="8:12" ht="12.75">
      <c r="H485" s="808"/>
      <c r="L485" s="808"/>
    </row>
    <row r="486" spans="8:12" ht="12.75">
      <c r="H486" s="808"/>
      <c r="L486" s="808"/>
    </row>
    <row r="487" spans="8:12" ht="12.75">
      <c r="H487" s="808"/>
      <c r="L487" s="808"/>
    </row>
    <row r="488" spans="8:12" ht="12.75">
      <c r="H488" s="808"/>
      <c r="L488" s="808"/>
    </row>
    <row r="489" spans="8:12" ht="12.75">
      <c r="H489" s="808"/>
      <c r="L489" s="808"/>
    </row>
    <row r="490" spans="8:12" ht="12.75">
      <c r="H490" s="808"/>
      <c r="L490" s="808"/>
    </row>
    <row r="491" spans="8:12" ht="12.75">
      <c r="H491" s="808"/>
      <c r="L491" s="808"/>
    </row>
    <row r="492" spans="8:12" ht="12.75">
      <c r="H492" s="808"/>
      <c r="L492" s="808"/>
    </row>
    <row r="493" spans="8:12" ht="12.75">
      <c r="H493" s="808"/>
      <c r="L493" s="808"/>
    </row>
    <row r="494" spans="8:12" ht="12.75">
      <c r="H494" s="808"/>
      <c r="L494" s="808"/>
    </row>
    <row r="495" spans="8:12" ht="12.75">
      <c r="H495" s="808"/>
      <c r="L495" s="808"/>
    </row>
    <row r="496" spans="8:12" ht="12.75">
      <c r="H496" s="808"/>
      <c r="L496" s="808"/>
    </row>
    <row r="497" spans="8:12" ht="12.75">
      <c r="H497" s="808"/>
      <c r="L497" s="808"/>
    </row>
    <row r="498" spans="8:12" ht="12.75">
      <c r="H498" s="808"/>
      <c r="L498" s="808"/>
    </row>
    <row r="499" spans="8:12" ht="12.75">
      <c r="H499" s="808"/>
      <c r="L499" s="808"/>
    </row>
    <row r="500" spans="8:12" ht="12.75">
      <c r="H500" s="808"/>
      <c r="L500" s="808"/>
    </row>
    <row r="501" spans="8:12" ht="12.75">
      <c r="H501" s="808"/>
      <c r="L501" s="808"/>
    </row>
    <row r="502" spans="8:12" ht="12.75">
      <c r="H502" s="808"/>
      <c r="L502" s="808"/>
    </row>
    <row r="503" spans="8:12" ht="12.75">
      <c r="H503" s="808"/>
      <c r="L503" s="808"/>
    </row>
    <row r="504" spans="8:12" ht="12.75">
      <c r="H504" s="808"/>
      <c r="L504" s="808"/>
    </row>
    <row r="505" spans="8:12" ht="12.75">
      <c r="H505" s="808"/>
      <c r="L505" s="808"/>
    </row>
    <row r="506" spans="8:12" ht="12.75">
      <c r="H506" s="808"/>
      <c r="L506" s="808"/>
    </row>
    <row r="507" spans="8:12" ht="12.75">
      <c r="H507" s="808"/>
      <c r="L507" s="808"/>
    </row>
    <row r="508" spans="8:12" ht="12.75">
      <c r="H508" s="808"/>
      <c r="L508" s="808"/>
    </row>
    <row r="509" spans="8:12" ht="12.75">
      <c r="H509" s="808"/>
      <c r="L509" s="808"/>
    </row>
    <row r="510" spans="8:12" ht="12.75">
      <c r="H510" s="808"/>
      <c r="L510" s="808"/>
    </row>
    <row r="511" spans="8:12" ht="12.75">
      <c r="H511" s="808"/>
      <c r="L511" s="808"/>
    </row>
    <row r="512" spans="8:12" ht="12.75">
      <c r="H512" s="808"/>
      <c r="L512" s="808"/>
    </row>
    <row r="513" spans="8:12" ht="12.75">
      <c r="H513" s="808"/>
      <c r="L513" s="808"/>
    </row>
    <row r="514" spans="8:12" ht="12.75">
      <c r="H514" s="808"/>
      <c r="L514" s="808"/>
    </row>
    <row r="515" spans="8:12" ht="12.75">
      <c r="H515" s="808"/>
      <c r="L515" s="808"/>
    </row>
    <row r="516" spans="8:12" ht="12.75">
      <c r="H516" s="808"/>
      <c r="L516" s="808"/>
    </row>
    <row r="517" spans="8:12" ht="12.75">
      <c r="H517" s="808"/>
      <c r="L517" s="808"/>
    </row>
    <row r="518" spans="8:12" ht="12.75">
      <c r="H518" s="808"/>
      <c r="L518" s="808"/>
    </row>
    <row r="519" spans="8:12" ht="12.75">
      <c r="H519" s="808"/>
      <c r="L519" s="808"/>
    </row>
    <row r="520" spans="8:12" ht="12.75">
      <c r="H520" s="808"/>
      <c r="L520" s="808"/>
    </row>
    <row r="521" spans="8:12" ht="12.75">
      <c r="H521" s="808"/>
      <c r="L521" s="808"/>
    </row>
    <row r="522" spans="8:12" ht="12.75">
      <c r="H522" s="808"/>
      <c r="L522" s="808"/>
    </row>
    <row r="523" spans="8:12" ht="12.75">
      <c r="H523" s="808"/>
      <c r="L523" s="808"/>
    </row>
    <row r="524" spans="8:12" ht="12.75">
      <c r="H524" s="808"/>
      <c r="L524" s="808"/>
    </row>
    <row r="525" spans="8:12" ht="12.75">
      <c r="H525" s="808"/>
      <c r="L525" s="808"/>
    </row>
    <row r="526" spans="8:12" ht="12.75">
      <c r="H526" s="808"/>
      <c r="L526" s="808"/>
    </row>
    <row r="527" spans="8:12" ht="12.75">
      <c r="H527" s="808"/>
      <c r="L527" s="808"/>
    </row>
    <row r="528" spans="8:12" ht="12.75">
      <c r="H528" s="808"/>
      <c r="L528" s="808"/>
    </row>
    <row r="529" spans="8:12" ht="12.75">
      <c r="H529" s="808"/>
      <c r="L529" s="808"/>
    </row>
    <row r="530" spans="8:12" ht="12.75">
      <c r="H530" s="808"/>
      <c r="L530" s="808"/>
    </row>
    <row r="531" spans="8:12" ht="12.75">
      <c r="H531" s="808"/>
      <c r="L531" s="808"/>
    </row>
    <row r="532" spans="8:12" ht="12.75">
      <c r="H532" s="808"/>
      <c r="L532" s="808"/>
    </row>
    <row r="533" spans="8:12" ht="12.75">
      <c r="H533" s="808"/>
      <c r="L533" s="808"/>
    </row>
    <row r="534" spans="8:12" ht="12.75">
      <c r="H534" s="808"/>
      <c r="L534" s="808"/>
    </row>
    <row r="535" spans="8:12" ht="12.75">
      <c r="H535" s="808"/>
      <c r="L535" s="808"/>
    </row>
    <row r="536" spans="8:12" ht="12.75">
      <c r="H536" s="808"/>
      <c r="L536" s="808"/>
    </row>
    <row r="537" spans="8:12" ht="12.75">
      <c r="H537" s="808"/>
      <c r="L537" s="808"/>
    </row>
    <row r="538" spans="8:12" ht="12.75">
      <c r="H538" s="808"/>
      <c r="L538" s="808"/>
    </row>
    <row r="539" spans="8:12" ht="12.75">
      <c r="H539" s="808"/>
      <c r="L539" s="808"/>
    </row>
    <row r="540" spans="8:12" ht="12.75">
      <c r="H540" s="808"/>
      <c r="L540" s="808"/>
    </row>
    <row r="541" spans="8:12" ht="12.75">
      <c r="H541" s="808"/>
      <c r="L541" s="808"/>
    </row>
    <row r="542" spans="8:12" ht="12.75">
      <c r="H542" s="808"/>
      <c r="L542" s="808"/>
    </row>
    <row r="543" spans="8:12" ht="12.75">
      <c r="H543" s="808"/>
      <c r="L543" s="808"/>
    </row>
    <row r="544" spans="8:12" ht="12.75">
      <c r="H544" s="808"/>
      <c r="L544" s="808"/>
    </row>
    <row r="545" spans="8:12" ht="12.75">
      <c r="H545" s="808"/>
      <c r="L545" s="808"/>
    </row>
    <row r="546" spans="8:12" ht="12.75">
      <c r="H546" s="808"/>
      <c r="L546" s="808"/>
    </row>
    <row r="547" spans="8:12" ht="12.75">
      <c r="H547" s="808"/>
      <c r="L547" s="808"/>
    </row>
    <row r="548" spans="8:12" ht="12.75">
      <c r="H548" s="808"/>
      <c r="L548" s="808"/>
    </row>
    <row r="549" spans="8:12" ht="12.75">
      <c r="H549" s="808"/>
      <c r="L549" s="808"/>
    </row>
    <row r="550" spans="8:12" ht="12.75">
      <c r="H550" s="808"/>
      <c r="L550" s="808"/>
    </row>
    <row r="551" spans="8:12" ht="12.75">
      <c r="H551" s="808"/>
      <c r="L551" s="808"/>
    </row>
    <row r="552" spans="8:12" ht="12.75">
      <c r="H552" s="808"/>
      <c r="L552" s="808"/>
    </row>
    <row r="553" spans="8:12" ht="12.75">
      <c r="H553" s="808"/>
      <c r="L553" s="808"/>
    </row>
    <row r="554" spans="8:12" ht="12.75">
      <c r="H554" s="808"/>
      <c r="L554" s="808"/>
    </row>
    <row r="555" spans="8:12" ht="12.75">
      <c r="H555" s="808"/>
      <c r="L555" s="808"/>
    </row>
    <row r="556" spans="8:12" ht="12.75">
      <c r="H556" s="808"/>
      <c r="L556" s="808"/>
    </row>
    <row r="557" spans="8:12" ht="12.75">
      <c r="H557" s="808"/>
      <c r="L557" s="808"/>
    </row>
    <row r="558" spans="8:12" ht="12.75">
      <c r="H558" s="808"/>
      <c r="L558" s="808"/>
    </row>
    <row r="559" spans="8:12" ht="12.75">
      <c r="H559" s="808"/>
      <c r="L559" s="808"/>
    </row>
    <row r="560" spans="8:12" ht="12.75">
      <c r="H560" s="808"/>
      <c r="L560" s="808"/>
    </row>
    <row r="561" spans="8:12" ht="12.75">
      <c r="H561" s="808"/>
      <c r="L561" s="808"/>
    </row>
    <row r="562" spans="8:12" ht="12.75">
      <c r="H562" s="808"/>
      <c r="L562" s="808"/>
    </row>
    <row r="563" spans="8:12" ht="12.75">
      <c r="H563" s="808"/>
      <c r="L563" s="808"/>
    </row>
    <row r="564" spans="8:12" ht="12.75">
      <c r="H564" s="808"/>
      <c r="L564" s="808"/>
    </row>
    <row r="565" spans="8:12" ht="12.75">
      <c r="H565" s="808"/>
      <c r="L565" s="808"/>
    </row>
    <row r="566" spans="8:12" ht="12.75">
      <c r="H566" s="808"/>
      <c r="L566" s="808"/>
    </row>
    <row r="567" spans="8:12" ht="12.75">
      <c r="H567" s="808"/>
      <c r="L567" s="808"/>
    </row>
    <row r="568" spans="8:12" ht="12.75">
      <c r="H568" s="808"/>
      <c r="L568" s="808"/>
    </row>
    <row r="569" spans="8:12" ht="12.75">
      <c r="H569" s="808"/>
      <c r="L569" s="808"/>
    </row>
    <row r="570" spans="8:12" ht="12.75">
      <c r="H570" s="808"/>
      <c r="L570" s="808"/>
    </row>
    <row r="571" spans="8:12" ht="12.75">
      <c r="H571" s="808"/>
      <c r="L571" s="808"/>
    </row>
    <row r="572" spans="8:12" ht="12.75">
      <c r="H572" s="808"/>
      <c r="L572" s="808"/>
    </row>
    <row r="573" spans="8:12" ht="12.75">
      <c r="H573" s="808"/>
      <c r="L573" s="808"/>
    </row>
    <row r="574" spans="8:12" ht="12.75">
      <c r="H574" s="808"/>
      <c r="L574" s="808"/>
    </row>
    <row r="575" spans="8:12" ht="12.75">
      <c r="H575" s="808"/>
      <c r="L575" s="808"/>
    </row>
    <row r="576" spans="8:12" ht="12.75">
      <c r="H576" s="808"/>
      <c r="L576" s="808"/>
    </row>
    <row r="577" spans="8:12" ht="12.75">
      <c r="H577" s="808"/>
      <c r="L577" s="808"/>
    </row>
    <row r="578" spans="8:12" ht="12.75">
      <c r="H578" s="808"/>
      <c r="L578" s="808"/>
    </row>
    <row r="579" spans="8:12" ht="12.75">
      <c r="H579" s="808"/>
      <c r="L579" s="808"/>
    </row>
    <row r="580" spans="8:12" ht="12.75">
      <c r="H580" s="808"/>
      <c r="L580" s="808"/>
    </row>
    <row r="581" spans="8:12" ht="12.75">
      <c r="H581" s="808"/>
      <c r="L581" s="808"/>
    </row>
    <row r="582" spans="8:12" ht="12.75">
      <c r="H582" s="808"/>
      <c r="L582" s="808"/>
    </row>
    <row r="583" spans="8:12" ht="12.75">
      <c r="H583" s="808"/>
      <c r="L583" s="808"/>
    </row>
    <row r="584" spans="8:12" ht="12.75">
      <c r="H584" s="808"/>
      <c r="L584" s="808"/>
    </row>
    <row r="585" spans="8:12" ht="12.75">
      <c r="H585" s="808"/>
      <c r="L585" s="808"/>
    </row>
    <row r="586" spans="8:12" ht="12.75">
      <c r="H586" s="808"/>
      <c r="L586" s="808"/>
    </row>
    <row r="587" spans="8:12" ht="12.75">
      <c r="H587" s="808"/>
      <c r="L587" s="808"/>
    </row>
    <row r="588" spans="8:12" ht="12.75">
      <c r="H588" s="808"/>
      <c r="L588" s="808"/>
    </row>
    <row r="589" spans="8:12" ht="12.75">
      <c r="H589" s="808"/>
      <c r="L589" s="808"/>
    </row>
    <row r="590" spans="8:12" ht="12.75">
      <c r="H590" s="808"/>
      <c r="L590" s="808"/>
    </row>
    <row r="591" spans="8:12" ht="12.75">
      <c r="H591" s="808"/>
      <c r="L591" s="808"/>
    </row>
    <row r="592" spans="8:12" ht="12.75">
      <c r="H592" s="808"/>
      <c r="L592" s="808"/>
    </row>
    <row r="593" spans="8:12" ht="12.75">
      <c r="H593" s="808"/>
      <c r="L593" s="808"/>
    </row>
    <row r="594" spans="8:12" ht="12.75">
      <c r="H594" s="808"/>
      <c r="L594" s="808"/>
    </row>
    <row r="595" spans="8:12" ht="12.75">
      <c r="H595" s="808"/>
      <c r="L595" s="808"/>
    </row>
    <row r="596" spans="8:12" ht="12.75">
      <c r="H596" s="808"/>
      <c r="L596" s="808"/>
    </row>
    <row r="597" spans="8:12" ht="12.75">
      <c r="H597" s="808"/>
      <c r="L597" s="808"/>
    </row>
    <row r="598" spans="8:12" ht="12.75">
      <c r="H598" s="808"/>
      <c r="L598" s="808"/>
    </row>
    <row r="599" spans="8:12" ht="12.75">
      <c r="H599" s="808"/>
      <c r="L599" s="808"/>
    </row>
    <row r="600" spans="8:12" ht="12.75">
      <c r="H600" s="808"/>
      <c r="L600" s="808"/>
    </row>
    <row r="601" spans="8:12" ht="12.75">
      <c r="H601" s="808"/>
      <c r="L601" s="808"/>
    </row>
    <row r="602" spans="8:12" ht="12.75">
      <c r="H602" s="808"/>
      <c r="L602" s="808"/>
    </row>
    <row r="603" spans="8:12" ht="12.75">
      <c r="H603" s="808"/>
      <c r="L603" s="808"/>
    </row>
    <row r="604" spans="8:12" ht="12.75">
      <c r="H604" s="808"/>
      <c r="L604" s="808"/>
    </row>
    <row r="605" spans="8:12" ht="12.75">
      <c r="H605" s="808"/>
      <c r="L605" s="808"/>
    </row>
    <row r="606" spans="8:12" ht="12.75">
      <c r="H606" s="808"/>
      <c r="L606" s="808"/>
    </row>
    <row r="607" spans="8:12" ht="12.75">
      <c r="H607" s="808"/>
      <c r="L607" s="808"/>
    </row>
    <row r="608" spans="8:12" ht="12.75">
      <c r="H608" s="808"/>
      <c r="L608" s="808"/>
    </row>
    <row r="609" spans="8:12" ht="12.75">
      <c r="H609" s="808"/>
      <c r="L609" s="808"/>
    </row>
    <row r="610" spans="8:12" ht="12.75">
      <c r="H610" s="808"/>
      <c r="L610" s="808"/>
    </row>
    <row r="611" spans="8:12" ht="12.75">
      <c r="H611" s="808"/>
      <c r="L611" s="808"/>
    </row>
    <row r="612" spans="8:12" ht="12.75">
      <c r="H612" s="808"/>
      <c r="L612" s="808"/>
    </row>
    <row r="613" spans="8:12" ht="12.75">
      <c r="H613" s="808"/>
      <c r="L613" s="808"/>
    </row>
    <row r="614" spans="8:12" ht="12.75">
      <c r="H614" s="808"/>
      <c r="L614" s="808"/>
    </row>
    <row r="615" spans="8:12" ht="12.75">
      <c r="H615" s="808"/>
      <c r="L615" s="808"/>
    </row>
    <row r="616" spans="8:12" ht="12.75">
      <c r="H616" s="808"/>
      <c r="L616" s="808"/>
    </row>
    <row r="617" spans="8:12" ht="12.75">
      <c r="H617" s="808"/>
      <c r="L617" s="808"/>
    </row>
    <row r="618" spans="8:12" ht="12.75">
      <c r="H618" s="808"/>
      <c r="L618" s="808"/>
    </row>
    <row r="619" spans="8:12" ht="12.75">
      <c r="H619" s="808"/>
      <c r="L619" s="808"/>
    </row>
    <row r="620" spans="8:12" ht="12.75">
      <c r="H620" s="808"/>
      <c r="L620" s="808"/>
    </row>
    <row r="621" spans="8:12" ht="12.75">
      <c r="H621" s="808"/>
      <c r="L621" s="808"/>
    </row>
    <row r="622" spans="8:12" ht="12.75">
      <c r="H622" s="808"/>
      <c r="L622" s="808"/>
    </row>
    <row r="623" spans="8:12" ht="12.75">
      <c r="H623" s="808"/>
      <c r="L623" s="808"/>
    </row>
    <row r="624" spans="8:12" ht="12.75">
      <c r="H624" s="808"/>
      <c r="L624" s="808"/>
    </row>
    <row r="625" spans="8:12" ht="12.75">
      <c r="H625" s="808"/>
      <c r="L625" s="808"/>
    </row>
    <row r="626" spans="8:12" ht="12.75">
      <c r="H626" s="808"/>
      <c r="L626" s="808"/>
    </row>
    <row r="627" spans="8:12" ht="12.75">
      <c r="H627" s="808"/>
      <c r="L627" s="808"/>
    </row>
    <row r="628" spans="8:12" ht="12.75">
      <c r="H628" s="808"/>
      <c r="L628" s="808"/>
    </row>
    <row r="629" spans="8:12" ht="12.75">
      <c r="H629" s="808"/>
      <c r="L629" s="808"/>
    </row>
    <row r="630" spans="8:12" ht="12.75">
      <c r="H630" s="808"/>
      <c r="L630" s="808"/>
    </row>
    <row r="631" spans="8:12" ht="12.75">
      <c r="H631" s="808"/>
      <c r="L631" s="808"/>
    </row>
    <row r="632" spans="8:12" ht="12.75">
      <c r="H632" s="808"/>
      <c r="L632" s="808"/>
    </row>
    <row r="633" spans="8:12" ht="12.75">
      <c r="H633" s="808"/>
      <c r="L633" s="808"/>
    </row>
    <row r="634" spans="8:12" ht="12.75">
      <c r="H634" s="808"/>
      <c r="L634" s="808"/>
    </row>
    <row r="635" spans="8:12" ht="12.75">
      <c r="H635" s="808"/>
      <c r="L635" s="808"/>
    </row>
  </sheetData>
  <sheetProtection/>
  <mergeCells count="36">
    <mergeCell ref="L2:P2"/>
    <mergeCell ref="A38:A46"/>
    <mergeCell ref="B46:C46"/>
    <mergeCell ref="A47:A52"/>
    <mergeCell ref="B52:C52"/>
    <mergeCell ref="A53:A58"/>
    <mergeCell ref="B58:C58"/>
    <mergeCell ref="B37:C37"/>
    <mergeCell ref="A21:A30"/>
    <mergeCell ref="B30:C30"/>
    <mergeCell ref="A69:A71"/>
    <mergeCell ref="B71:C71"/>
    <mergeCell ref="A72:C72"/>
    <mergeCell ref="A2:C2"/>
    <mergeCell ref="D2:G2"/>
    <mergeCell ref="H2:K2"/>
    <mergeCell ref="A31:A37"/>
    <mergeCell ref="A5:A9"/>
    <mergeCell ref="B9:C9"/>
    <mergeCell ref="H3:J3"/>
    <mergeCell ref="K3:K4"/>
    <mergeCell ref="L3:N3"/>
    <mergeCell ref="O3:O4"/>
    <mergeCell ref="P3:P4"/>
    <mergeCell ref="B68:C68"/>
    <mergeCell ref="A59:A68"/>
    <mergeCell ref="O1:P1"/>
    <mergeCell ref="A1:N1"/>
    <mergeCell ref="A10:A15"/>
    <mergeCell ref="B15:C15"/>
    <mergeCell ref="A16:A20"/>
    <mergeCell ref="B20:C20"/>
    <mergeCell ref="A3:A4"/>
    <mergeCell ref="B3:C3"/>
    <mergeCell ref="D3:F3"/>
    <mergeCell ref="G3:G4"/>
  </mergeCells>
  <printOptions horizontalCentered="1"/>
  <pageMargins left="0.5511811023622047" right="0.3937007874015748" top="0.4330708661417323" bottom="0.31496062992125984" header="0" footer="0.15748031496062992"/>
  <pageSetup fitToHeight="1" fitToWidth="1" horizontalDpi="600" verticalDpi="600" orientation="portrait" paperSize="9" scale="52" r:id="rId1"/>
  <headerFooter alignWithMargins="0">
    <oddFooter>&amp;L&amp;"Times New Roman,Obyčejné"Závěrečný účet za rok 2018</oddFooter>
  </headerFooter>
  <ignoredErrors>
    <ignoredError sqref="K20 K30 O30 G37 K37 K46 K52 G58 K58 O58 G68 K68 O68 G72 K72" formula="1"/>
    <ignoredError sqref="B21:B29 B31:B36 B38:B45 B47:B51 B53:B57 B59:B65 B67 B69:B70 B5" numberStoredAsText="1"/>
    <ignoredError sqref="G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02"/>
  <sheetViews>
    <sheetView zoomScaleSheetLayoutView="98" workbookViewId="0" topLeftCell="A1">
      <selection activeCell="A172" sqref="A172"/>
    </sheetView>
  </sheetViews>
  <sheetFormatPr defaultColWidth="9.00390625" defaultRowHeight="12.75"/>
  <cols>
    <col min="1" max="1" width="83.25390625" style="753" customWidth="1"/>
    <col min="2" max="2" width="13.125" style="753" customWidth="1"/>
    <col min="3" max="3" width="11.625" style="753" customWidth="1"/>
    <col min="4" max="4" width="13.625" style="753" customWidth="1"/>
    <col min="5" max="5" width="10.125" style="753" customWidth="1"/>
    <col min="6" max="6" width="12.375" style="753" bestFit="1" customWidth="1"/>
    <col min="7" max="16384" width="9.125" style="753" customWidth="1"/>
  </cols>
  <sheetData>
    <row r="1" spans="1:5" ht="60" customHeight="1">
      <c r="A1" s="1407" t="s">
        <v>758</v>
      </c>
      <c r="B1" s="1408"/>
      <c r="C1" s="1408"/>
      <c r="D1" s="1408"/>
      <c r="E1" s="997" t="s">
        <v>732</v>
      </c>
    </row>
    <row r="2" spans="1:5" ht="44.25" customHeight="1">
      <c r="A2" s="999" t="s">
        <v>58</v>
      </c>
      <c r="B2" s="1000" t="s">
        <v>105</v>
      </c>
      <c r="C2" s="1001" t="s">
        <v>151</v>
      </c>
      <c r="D2" s="1002" t="s">
        <v>330</v>
      </c>
      <c r="E2" s="998" t="s">
        <v>37</v>
      </c>
    </row>
    <row r="3" spans="1:5" ht="31.5" customHeight="1" thickBot="1">
      <c r="A3" s="1409" t="s">
        <v>59</v>
      </c>
      <c r="B3" s="1410"/>
      <c r="C3" s="1410"/>
      <c r="D3" s="1410"/>
      <c r="E3" s="1411"/>
    </row>
    <row r="4" spans="1:5" ht="21" customHeight="1">
      <c r="A4" s="1003" t="s">
        <v>200</v>
      </c>
      <c r="B4" s="1004">
        <f>B17</f>
        <v>0</v>
      </c>
      <c r="C4" s="1004">
        <f>C17</f>
        <v>22298.5</v>
      </c>
      <c r="D4" s="1004">
        <f>D17</f>
        <v>22055.491</v>
      </c>
      <c r="E4" s="1005">
        <f aca="true" t="shared" si="0" ref="E4:E14">D4/C4</f>
        <v>0.9891020023768415</v>
      </c>
    </row>
    <row r="5" spans="1:5" ht="21" customHeight="1">
      <c r="A5" s="1006" t="s">
        <v>148</v>
      </c>
      <c r="B5" s="1007">
        <f>B47</f>
        <v>145561.7</v>
      </c>
      <c r="C5" s="1007">
        <f>C47</f>
        <v>160330.79999999996</v>
      </c>
      <c r="D5" s="1007">
        <f>D47</f>
        <v>45813.77624</v>
      </c>
      <c r="E5" s="1008">
        <f t="shared" si="0"/>
        <v>0.28574532304460537</v>
      </c>
    </row>
    <row r="6" spans="1:5" ht="21" customHeight="1">
      <c r="A6" s="1009" t="s">
        <v>201</v>
      </c>
      <c r="B6" s="1007">
        <f>B55</f>
        <v>7750</v>
      </c>
      <c r="C6" s="1007">
        <f>C55</f>
        <v>4478.4</v>
      </c>
      <c r="D6" s="1007">
        <f>D55</f>
        <v>2505.248</v>
      </c>
      <c r="E6" s="1008">
        <f t="shared" si="0"/>
        <v>0.5594069310468025</v>
      </c>
    </row>
    <row r="7" spans="1:5" ht="21" customHeight="1">
      <c r="A7" s="1010" t="s">
        <v>106</v>
      </c>
      <c r="B7" s="1007">
        <f>B123</f>
        <v>156282.09999999998</v>
      </c>
      <c r="C7" s="1007">
        <f>C123</f>
        <v>231668.69999999998</v>
      </c>
      <c r="D7" s="1007">
        <f>D123</f>
        <v>171696.89352</v>
      </c>
      <c r="E7" s="1008">
        <f t="shared" si="0"/>
        <v>0.7411311649782644</v>
      </c>
    </row>
    <row r="8" spans="1:5" ht="21" customHeight="1">
      <c r="A8" s="1009" t="s">
        <v>107</v>
      </c>
      <c r="B8" s="1007">
        <f>B137</f>
        <v>41890</v>
      </c>
      <c r="C8" s="1007">
        <f>C137</f>
        <v>42387.5</v>
      </c>
      <c r="D8" s="1007">
        <f>D137</f>
        <v>38675.68012</v>
      </c>
      <c r="E8" s="1008">
        <f t="shared" si="0"/>
        <v>0.9124312620465939</v>
      </c>
    </row>
    <row r="9" spans="1:5" ht="21" customHeight="1">
      <c r="A9" s="1009" t="s">
        <v>173</v>
      </c>
      <c r="B9" s="1007">
        <f>B142</f>
        <v>3200</v>
      </c>
      <c r="C9" s="1007">
        <f>C142</f>
        <v>630</v>
      </c>
      <c r="D9" s="1007">
        <f>D142</f>
        <v>541.08</v>
      </c>
      <c r="E9" s="1008">
        <f t="shared" si="0"/>
        <v>0.8588571428571429</v>
      </c>
    </row>
    <row r="10" spans="1:5" ht="21" customHeight="1">
      <c r="A10" s="1009" t="s">
        <v>149</v>
      </c>
      <c r="B10" s="1007">
        <f>B149</f>
        <v>21617.2</v>
      </c>
      <c r="C10" s="1007">
        <f>C149</f>
        <v>25640.9</v>
      </c>
      <c r="D10" s="1007">
        <f>D149</f>
        <v>24112.98128</v>
      </c>
      <c r="E10" s="1008">
        <f t="shared" si="0"/>
        <v>0.9404108779333018</v>
      </c>
    </row>
    <row r="11" spans="1:5" ht="21" customHeight="1">
      <c r="A11" s="1009" t="s">
        <v>108</v>
      </c>
      <c r="B11" s="1007">
        <f>B170</f>
        <v>38200</v>
      </c>
      <c r="C11" s="1007">
        <f>C170</f>
        <v>53494.3</v>
      </c>
      <c r="D11" s="1007">
        <f>D170</f>
        <v>15137.571809999998</v>
      </c>
      <c r="E11" s="1008">
        <f t="shared" si="0"/>
        <v>0.28297541625930234</v>
      </c>
    </row>
    <row r="12" spans="1:5" ht="21" customHeight="1">
      <c r="A12" s="1009" t="s">
        <v>109</v>
      </c>
      <c r="B12" s="1011">
        <f aca="true" t="shared" si="1" ref="B12:D13">B199</f>
        <v>38850</v>
      </c>
      <c r="C12" s="1011">
        <f t="shared" si="1"/>
        <v>23676.3</v>
      </c>
      <c r="D12" s="1011">
        <f t="shared" si="1"/>
        <v>14404.86002</v>
      </c>
      <c r="E12" s="1008">
        <f t="shared" si="0"/>
        <v>0.608408409253135</v>
      </c>
    </row>
    <row r="13" spans="1:5" ht="21" customHeight="1" thickBot="1">
      <c r="A13" s="1009" t="s">
        <v>491</v>
      </c>
      <c r="B13" s="1011">
        <f t="shared" si="1"/>
        <v>0</v>
      </c>
      <c r="C13" s="1011">
        <f t="shared" si="1"/>
        <v>4872.1</v>
      </c>
      <c r="D13" s="1011">
        <f t="shared" si="1"/>
        <v>0</v>
      </c>
      <c r="E13" s="1008">
        <f t="shared" si="0"/>
        <v>0</v>
      </c>
    </row>
    <row r="14" spans="1:5" ht="32.25" customHeight="1" thickBot="1" thickTop="1">
      <c r="A14" s="1012" t="s">
        <v>60</v>
      </c>
      <c r="B14" s="1013">
        <f>SUM(B4:B13)</f>
        <v>453351</v>
      </c>
      <c r="C14" s="1013">
        <f>SUM(C4:C13)</f>
        <v>569477.5</v>
      </c>
      <c r="D14" s="1013">
        <f>SUM(D4:D13)</f>
        <v>334943.58199000004</v>
      </c>
      <c r="E14" s="1014">
        <f t="shared" si="0"/>
        <v>0.5881594654573711</v>
      </c>
    </row>
    <row r="15" spans="1:5" ht="27" customHeight="1">
      <c r="A15" s="1412" t="s">
        <v>61</v>
      </c>
      <c r="B15" s="1413"/>
      <c r="C15" s="1413"/>
      <c r="D15" s="1413"/>
      <c r="E15" s="1414"/>
    </row>
    <row r="16" spans="1:5" ht="18" customHeight="1" thickBot="1">
      <c r="A16" s="1015" t="s">
        <v>331</v>
      </c>
      <c r="B16" s="1016">
        <v>0</v>
      </c>
      <c r="C16" s="1017">
        <v>22298.5</v>
      </c>
      <c r="D16" s="1018">
        <v>22055.491</v>
      </c>
      <c r="E16" s="1019">
        <f>D16/C16</f>
        <v>0.9891020023768415</v>
      </c>
    </row>
    <row r="17" spans="1:12" ht="26.25" customHeight="1" thickBot="1" thickTop="1">
      <c r="A17" s="1299" t="s">
        <v>759</v>
      </c>
      <c r="B17" s="1013">
        <f>SUM(B16:B16)</f>
        <v>0</v>
      </c>
      <c r="C17" s="1013">
        <f>SUM(C16:C16)</f>
        <v>22298.5</v>
      </c>
      <c r="D17" s="1013">
        <f>SUM(D16:D16)</f>
        <v>22055.491</v>
      </c>
      <c r="E17" s="1014">
        <f>D17/C17</f>
        <v>0.9891020023768415</v>
      </c>
      <c r="L17" s="757"/>
    </row>
    <row r="18" spans="1:5" ht="18" customHeight="1">
      <c r="A18" s="1029" t="s">
        <v>332</v>
      </c>
      <c r="B18" s="1055">
        <v>4000</v>
      </c>
      <c r="C18" s="1055">
        <v>400</v>
      </c>
      <c r="D18" s="1022">
        <v>198.44</v>
      </c>
      <c r="E18" s="1037">
        <f>D18/C18</f>
        <v>0.4961</v>
      </c>
    </row>
    <row r="19" spans="1:5" ht="18" customHeight="1">
      <c r="A19" s="1021" t="s">
        <v>333</v>
      </c>
      <c r="B19" s="1022">
        <v>4000</v>
      </c>
      <c r="C19" s="1022">
        <v>400</v>
      </c>
      <c r="D19" s="1022">
        <v>198.44</v>
      </c>
      <c r="E19" s="1008">
        <f>D19/C19</f>
        <v>0.4961</v>
      </c>
    </row>
    <row r="20" spans="1:5" ht="18" customHeight="1">
      <c r="A20" s="1021" t="s">
        <v>334</v>
      </c>
      <c r="B20" s="1022">
        <v>5000</v>
      </c>
      <c r="C20" s="1022">
        <v>0</v>
      </c>
      <c r="D20" s="1022">
        <v>0</v>
      </c>
      <c r="E20" s="1008">
        <v>0</v>
      </c>
    </row>
    <row r="21" spans="1:5" ht="18" customHeight="1">
      <c r="A21" s="1023" t="s">
        <v>174</v>
      </c>
      <c r="B21" s="1022">
        <v>1000</v>
      </c>
      <c r="C21" s="1022">
        <v>0</v>
      </c>
      <c r="D21" s="1022">
        <v>0</v>
      </c>
      <c r="E21" s="1008">
        <v>0</v>
      </c>
    </row>
    <row r="22" spans="1:5" ht="18" customHeight="1">
      <c r="A22" s="1081" t="s">
        <v>478</v>
      </c>
      <c r="B22" s="1022">
        <v>0</v>
      </c>
      <c r="C22" s="1024">
        <v>20</v>
      </c>
      <c r="D22" s="1022">
        <v>20</v>
      </c>
      <c r="E22" s="1008">
        <f>D22/C22</f>
        <v>1</v>
      </c>
    </row>
    <row r="23" spans="1:5" ht="18" customHeight="1">
      <c r="A23" s="1083" t="s">
        <v>204</v>
      </c>
      <c r="B23" s="1022">
        <v>15000</v>
      </c>
      <c r="C23" s="1025">
        <v>15000</v>
      </c>
      <c r="D23" s="1007">
        <v>925.2023</v>
      </c>
      <c r="E23" s="1008">
        <f>D23/C23</f>
        <v>0.061680153333333335</v>
      </c>
    </row>
    <row r="24" spans="1:5" ht="18" customHeight="1">
      <c r="A24" s="1082" t="s">
        <v>335</v>
      </c>
      <c r="B24" s="1027">
        <v>10000</v>
      </c>
      <c r="C24" s="1025">
        <v>17272.3</v>
      </c>
      <c r="D24" s="1007">
        <v>16760.51355</v>
      </c>
      <c r="E24" s="1008">
        <f aca="true" t="shared" si="2" ref="E24:E47">D24/C24</f>
        <v>0.9703695251935179</v>
      </c>
    </row>
    <row r="25" spans="1:5" ht="18" customHeight="1">
      <c r="A25" s="1026" t="s">
        <v>336</v>
      </c>
      <c r="B25" s="1027">
        <v>1500</v>
      </c>
      <c r="C25" s="1025">
        <v>1500</v>
      </c>
      <c r="D25" s="1007">
        <v>119</v>
      </c>
      <c r="E25" s="1008">
        <f t="shared" si="2"/>
        <v>0.07933333333333334</v>
      </c>
    </row>
    <row r="26" spans="1:5" ht="18" customHeight="1">
      <c r="A26" s="1026" t="s">
        <v>337</v>
      </c>
      <c r="B26" s="1027">
        <v>3000</v>
      </c>
      <c r="C26" s="1025">
        <v>3000</v>
      </c>
      <c r="D26" s="1007">
        <v>193.6</v>
      </c>
      <c r="E26" s="1008">
        <f t="shared" si="2"/>
        <v>0.06453333333333333</v>
      </c>
    </row>
    <row r="27" spans="1:5" ht="18" customHeight="1">
      <c r="A27" s="1026" t="s">
        <v>338</v>
      </c>
      <c r="B27" s="1027">
        <v>2000</v>
      </c>
      <c r="C27" s="1025">
        <v>1000</v>
      </c>
      <c r="D27" s="1007">
        <v>0</v>
      </c>
      <c r="E27" s="1008">
        <f t="shared" si="2"/>
        <v>0</v>
      </c>
    </row>
    <row r="28" spans="1:5" ht="18" customHeight="1">
      <c r="A28" s="1026" t="s">
        <v>203</v>
      </c>
      <c r="B28" s="1027">
        <v>7500</v>
      </c>
      <c r="C28" s="1025">
        <v>7500</v>
      </c>
      <c r="D28" s="1007">
        <v>7267.60136</v>
      </c>
      <c r="E28" s="1008">
        <f t="shared" si="2"/>
        <v>0.9690135146666666</v>
      </c>
    </row>
    <row r="29" spans="1:5" ht="18" customHeight="1">
      <c r="A29" s="1026" t="s">
        <v>339</v>
      </c>
      <c r="B29" s="1027">
        <v>3000</v>
      </c>
      <c r="C29" s="1025">
        <v>4725.3</v>
      </c>
      <c r="D29" s="1007">
        <v>4725.20791</v>
      </c>
      <c r="E29" s="1008">
        <f t="shared" si="2"/>
        <v>0.9999805112902884</v>
      </c>
    </row>
    <row r="30" spans="1:5" ht="18" customHeight="1">
      <c r="A30" s="1026" t="s">
        <v>479</v>
      </c>
      <c r="B30" s="1027">
        <v>0</v>
      </c>
      <c r="C30" s="1025">
        <v>238.2</v>
      </c>
      <c r="D30" s="1007">
        <v>238.136</v>
      </c>
      <c r="E30" s="1008">
        <f t="shared" si="2"/>
        <v>0.9997313182199833</v>
      </c>
    </row>
    <row r="31" spans="1:5" ht="18" customHeight="1">
      <c r="A31" s="1026" t="s">
        <v>340</v>
      </c>
      <c r="B31" s="1027">
        <v>4500</v>
      </c>
      <c r="C31" s="1025">
        <v>0</v>
      </c>
      <c r="D31" s="1007">
        <v>0</v>
      </c>
      <c r="E31" s="1008">
        <v>0</v>
      </c>
    </row>
    <row r="32" spans="1:5" ht="18" customHeight="1">
      <c r="A32" s="1026" t="s">
        <v>341</v>
      </c>
      <c r="B32" s="1027">
        <v>700</v>
      </c>
      <c r="C32" s="1025">
        <v>129.8</v>
      </c>
      <c r="D32" s="1007">
        <v>0</v>
      </c>
      <c r="E32" s="1008">
        <f t="shared" si="2"/>
        <v>0</v>
      </c>
    </row>
    <row r="33" spans="1:5" ht="18" customHeight="1">
      <c r="A33" s="1026" t="s">
        <v>342</v>
      </c>
      <c r="B33" s="1027">
        <v>500</v>
      </c>
      <c r="C33" s="1025">
        <v>96.8</v>
      </c>
      <c r="D33" s="1007">
        <v>0</v>
      </c>
      <c r="E33" s="1008">
        <f t="shared" si="2"/>
        <v>0</v>
      </c>
    </row>
    <row r="34" spans="1:5" ht="18" customHeight="1">
      <c r="A34" s="1026" t="s">
        <v>343</v>
      </c>
      <c r="B34" s="1027">
        <v>20281.5</v>
      </c>
      <c r="C34" s="1025">
        <v>22822.1</v>
      </c>
      <c r="D34" s="1007">
        <v>2226.4</v>
      </c>
      <c r="E34" s="1008">
        <f t="shared" si="2"/>
        <v>0.09755456333992052</v>
      </c>
    </row>
    <row r="35" spans="1:5" ht="18" customHeight="1">
      <c r="A35" s="1026" t="s">
        <v>344</v>
      </c>
      <c r="B35" s="1027">
        <v>14580</v>
      </c>
      <c r="C35" s="1025">
        <v>14338.4</v>
      </c>
      <c r="D35" s="1007">
        <v>2509.45225</v>
      </c>
      <c r="E35" s="1008">
        <f t="shared" si="2"/>
        <v>0.17501619776265134</v>
      </c>
    </row>
    <row r="36" spans="1:5" ht="18" customHeight="1">
      <c r="A36" s="1026" t="s">
        <v>345</v>
      </c>
      <c r="B36" s="1027">
        <v>20000</v>
      </c>
      <c r="C36" s="1025">
        <v>19912.9</v>
      </c>
      <c r="D36" s="1007">
        <v>1984.4</v>
      </c>
      <c r="E36" s="1008">
        <f t="shared" si="2"/>
        <v>0.09965399314012524</v>
      </c>
    </row>
    <row r="37" spans="1:5" ht="18" customHeight="1">
      <c r="A37" s="1026" t="s">
        <v>346</v>
      </c>
      <c r="B37" s="1027">
        <v>20000</v>
      </c>
      <c r="C37" s="1007">
        <v>39898.4</v>
      </c>
      <c r="D37" s="1007">
        <v>0</v>
      </c>
      <c r="E37" s="1008">
        <f t="shared" si="2"/>
        <v>0</v>
      </c>
    </row>
    <row r="38" spans="1:5" ht="18" customHeight="1">
      <c r="A38" s="1026" t="s">
        <v>347</v>
      </c>
      <c r="B38" s="1027">
        <v>2000</v>
      </c>
      <c r="C38" s="1018">
        <v>0</v>
      </c>
      <c r="D38" s="1007">
        <v>0</v>
      </c>
      <c r="E38" s="1008">
        <v>0</v>
      </c>
    </row>
    <row r="39" spans="1:5" ht="18" customHeight="1">
      <c r="A39" s="1026" t="s">
        <v>348</v>
      </c>
      <c r="B39" s="1027">
        <v>1950.2</v>
      </c>
      <c r="C39" s="1018">
        <v>0</v>
      </c>
      <c r="D39" s="1007">
        <v>0</v>
      </c>
      <c r="E39" s="1008">
        <v>0</v>
      </c>
    </row>
    <row r="40" spans="1:5" ht="18" customHeight="1">
      <c r="A40" s="1026" t="s">
        <v>349</v>
      </c>
      <c r="B40" s="1027">
        <v>0</v>
      </c>
      <c r="C40" s="1018">
        <v>2775</v>
      </c>
      <c r="D40" s="1007">
        <v>0</v>
      </c>
      <c r="E40" s="1008">
        <f t="shared" si="2"/>
        <v>0</v>
      </c>
    </row>
    <row r="41" spans="1:5" ht="18" customHeight="1">
      <c r="A41" s="1026" t="s">
        <v>350</v>
      </c>
      <c r="B41" s="1027">
        <v>0</v>
      </c>
      <c r="C41" s="1018">
        <v>519</v>
      </c>
      <c r="D41" s="1007">
        <v>423.8217</v>
      </c>
      <c r="E41" s="1008">
        <f t="shared" si="2"/>
        <v>0.8166121387283237</v>
      </c>
    </row>
    <row r="42" spans="1:5" ht="18" customHeight="1">
      <c r="A42" s="1026" t="s">
        <v>350</v>
      </c>
      <c r="B42" s="1027">
        <v>0</v>
      </c>
      <c r="C42" s="1018">
        <v>755.9</v>
      </c>
      <c r="D42" s="1007">
        <v>597.95517</v>
      </c>
      <c r="E42" s="1008">
        <f>D42/C42</f>
        <v>0.7910506283899986</v>
      </c>
    </row>
    <row r="43" spans="1:5" ht="18" customHeight="1">
      <c r="A43" s="1026" t="s">
        <v>480</v>
      </c>
      <c r="B43" s="1027">
        <v>0</v>
      </c>
      <c r="C43" s="1018">
        <v>120.1</v>
      </c>
      <c r="D43" s="1007">
        <v>120.022</v>
      </c>
      <c r="E43" s="1008">
        <f t="shared" si="2"/>
        <v>0.9993505412156537</v>
      </c>
    </row>
    <row r="44" spans="1:5" ht="18" customHeight="1">
      <c r="A44" s="1026" t="s">
        <v>480</v>
      </c>
      <c r="B44" s="1027">
        <v>0</v>
      </c>
      <c r="C44" s="1018">
        <v>650.3</v>
      </c>
      <c r="D44" s="1007">
        <v>99.3</v>
      </c>
      <c r="E44" s="1008">
        <f t="shared" si="2"/>
        <v>0.15269875442103645</v>
      </c>
    </row>
    <row r="45" spans="1:5" ht="18" customHeight="1">
      <c r="A45" s="1026" t="s">
        <v>351</v>
      </c>
      <c r="B45" s="1027">
        <v>5000</v>
      </c>
      <c r="C45" s="1018">
        <v>7206.3</v>
      </c>
      <c r="D45" s="1007">
        <v>7206.284</v>
      </c>
      <c r="E45" s="1008">
        <f>D45/C45</f>
        <v>0.9999977797205223</v>
      </c>
    </row>
    <row r="46" spans="1:5" ht="18" customHeight="1" thickBot="1">
      <c r="A46" s="1026" t="s">
        <v>202</v>
      </c>
      <c r="B46" s="1027">
        <v>50</v>
      </c>
      <c r="C46" s="1018">
        <v>50</v>
      </c>
      <c r="D46" s="1007">
        <v>0</v>
      </c>
      <c r="E46" s="1008">
        <f>D46/C46</f>
        <v>0</v>
      </c>
    </row>
    <row r="47" spans="1:5" ht="26.25" customHeight="1" thickBot="1" thickTop="1">
      <c r="A47" s="1084" t="s">
        <v>760</v>
      </c>
      <c r="B47" s="1085">
        <f>SUM(B18:B46)</f>
        <v>145561.7</v>
      </c>
      <c r="C47" s="1085">
        <f>SUM(C18:C46)</f>
        <v>160330.79999999996</v>
      </c>
      <c r="D47" s="1085">
        <f>SUM(D18:D46)</f>
        <v>45813.77624</v>
      </c>
      <c r="E47" s="1086">
        <f t="shared" si="2"/>
        <v>0.28574532304460537</v>
      </c>
    </row>
    <row r="48" spans="1:5" ht="18" customHeight="1">
      <c r="A48" s="1029" t="s">
        <v>205</v>
      </c>
      <c r="B48" s="1030">
        <v>1050</v>
      </c>
      <c r="C48" s="1055">
        <v>430</v>
      </c>
      <c r="D48" s="1055">
        <v>199.092</v>
      </c>
      <c r="E48" s="1037">
        <f>D48/C48</f>
        <v>0.4630046511627907</v>
      </c>
    </row>
    <row r="49" spans="1:5" ht="18" customHeight="1">
      <c r="A49" s="1021" t="s">
        <v>224</v>
      </c>
      <c r="B49" s="1031">
        <v>1900</v>
      </c>
      <c r="C49" s="1032">
        <v>500</v>
      </c>
      <c r="D49" s="1032">
        <v>408.44</v>
      </c>
      <c r="E49" s="1008">
        <f aca="true" t="shared" si="3" ref="E49:E139">D49/C49</f>
        <v>0.81688</v>
      </c>
    </row>
    <row r="50" spans="1:5" ht="18" customHeight="1">
      <c r="A50" s="1023" t="s">
        <v>352</v>
      </c>
      <c r="B50" s="1031">
        <v>2300</v>
      </c>
      <c r="C50" s="1032">
        <v>300</v>
      </c>
      <c r="D50" s="1032">
        <v>278.3</v>
      </c>
      <c r="E50" s="1008">
        <f t="shared" si="3"/>
        <v>0.9276666666666668</v>
      </c>
    </row>
    <row r="51" spans="1:5" ht="18" customHeight="1">
      <c r="A51" s="1021" t="s">
        <v>481</v>
      </c>
      <c r="B51" s="1031">
        <v>500</v>
      </c>
      <c r="C51" s="1032">
        <v>0</v>
      </c>
      <c r="D51" s="1032">
        <v>0</v>
      </c>
      <c r="E51" s="1008">
        <v>0</v>
      </c>
    </row>
    <row r="52" spans="1:5" ht="18" customHeight="1">
      <c r="A52" s="1023" t="s">
        <v>174</v>
      </c>
      <c r="B52" s="1033">
        <v>2000</v>
      </c>
      <c r="C52" s="1032">
        <v>0</v>
      </c>
      <c r="D52" s="1032">
        <v>0</v>
      </c>
      <c r="E52" s="1008">
        <v>0</v>
      </c>
    </row>
    <row r="53" spans="1:5" ht="18" customHeight="1">
      <c r="A53" s="1034" t="s">
        <v>353</v>
      </c>
      <c r="B53" s="1033">
        <v>0</v>
      </c>
      <c r="C53" s="1035">
        <v>1619.5</v>
      </c>
      <c r="D53" s="1035">
        <v>1619.416</v>
      </c>
      <c r="E53" s="1008">
        <f>D53/C53</f>
        <v>0.9999481321395493</v>
      </c>
    </row>
    <row r="54" spans="1:5" ht="18" customHeight="1" thickBot="1">
      <c r="A54" s="1034" t="s">
        <v>354</v>
      </c>
      <c r="B54" s="1036">
        <v>0</v>
      </c>
      <c r="C54" s="1035">
        <v>1628.9</v>
      </c>
      <c r="D54" s="1035">
        <v>0</v>
      </c>
      <c r="E54" s="1037">
        <f>D54/C54</f>
        <v>0</v>
      </c>
    </row>
    <row r="55" spans="1:5" ht="26.25" customHeight="1" thickBot="1" thickTop="1">
      <c r="A55" s="1084" t="s">
        <v>761</v>
      </c>
      <c r="B55" s="1087">
        <f>SUM(B48:B54)</f>
        <v>7750</v>
      </c>
      <c r="C55" s="1087">
        <f>SUM(C48:C54)</f>
        <v>4478.4</v>
      </c>
      <c r="D55" s="1087">
        <f>SUM(D48:D54)</f>
        <v>2505.248</v>
      </c>
      <c r="E55" s="1086">
        <f t="shared" si="3"/>
        <v>0.5594069310468025</v>
      </c>
    </row>
    <row r="56" spans="1:5" ht="25.5" customHeight="1">
      <c r="A56" s="1029" t="s">
        <v>355</v>
      </c>
      <c r="B56" s="1030">
        <v>12130</v>
      </c>
      <c r="C56" s="1040">
        <v>30474.9</v>
      </c>
      <c r="D56" s="1040">
        <v>12269.085</v>
      </c>
      <c r="E56" s="1037">
        <f t="shared" si="3"/>
        <v>0.40259639900377026</v>
      </c>
    </row>
    <row r="57" spans="1:5" ht="25.5" customHeight="1">
      <c r="A57" s="1021" t="s">
        <v>356</v>
      </c>
      <c r="B57" s="1031">
        <v>20700</v>
      </c>
      <c r="C57" s="1039">
        <v>26144.3</v>
      </c>
      <c r="D57" s="1039">
        <v>23725.18978</v>
      </c>
      <c r="E57" s="1037">
        <f t="shared" si="3"/>
        <v>0.9074708360904672</v>
      </c>
    </row>
    <row r="58" spans="1:5" ht="18" customHeight="1">
      <c r="A58" s="1021" t="s">
        <v>357</v>
      </c>
      <c r="B58" s="1031">
        <v>20000</v>
      </c>
      <c r="C58" s="1039">
        <v>41842</v>
      </c>
      <c r="D58" s="1039">
        <v>31627.64386</v>
      </c>
      <c r="E58" s="1037">
        <f t="shared" si="3"/>
        <v>0.7558826982457818</v>
      </c>
    </row>
    <row r="59" spans="1:5" ht="18" customHeight="1">
      <c r="A59" s="1021" t="s">
        <v>358</v>
      </c>
      <c r="B59" s="1031">
        <v>20000</v>
      </c>
      <c r="C59" s="1039">
        <v>19679.1</v>
      </c>
      <c r="D59" s="1039">
        <v>19519.21944</v>
      </c>
      <c r="E59" s="1037">
        <f t="shared" si="3"/>
        <v>0.991875616262939</v>
      </c>
    </row>
    <row r="60" spans="1:5" ht="26.25" customHeight="1">
      <c r="A60" s="1021" t="s">
        <v>359</v>
      </c>
      <c r="B60" s="1031">
        <v>13100</v>
      </c>
      <c r="C60" s="1039">
        <v>15151.8</v>
      </c>
      <c r="D60" s="1039">
        <v>15146.4224</v>
      </c>
      <c r="E60" s="1037">
        <f t="shared" si="3"/>
        <v>0.9996450850724007</v>
      </c>
    </row>
    <row r="61" spans="1:5" ht="18" customHeight="1">
      <c r="A61" s="1021" t="s">
        <v>360</v>
      </c>
      <c r="B61" s="1031">
        <v>3000</v>
      </c>
      <c r="C61" s="1039">
        <v>6936.8</v>
      </c>
      <c r="D61" s="1039">
        <v>3816.36162</v>
      </c>
      <c r="E61" s="1037">
        <f t="shared" si="3"/>
        <v>0.5501616912697498</v>
      </c>
    </row>
    <row r="62" spans="1:5" ht="18" customHeight="1">
      <c r="A62" s="1021" t="s">
        <v>492</v>
      </c>
      <c r="B62" s="1031">
        <v>0</v>
      </c>
      <c r="C62" s="1039">
        <v>3715.8</v>
      </c>
      <c r="D62" s="1039">
        <v>2994.65496</v>
      </c>
      <c r="E62" s="1037">
        <f t="shared" si="3"/>
        <v>0.8059246891651864</v>
      </c>
    </row>
    <row r="63" spans="1:5" ht="27" customHeight="1">
      <c r="A63" s="1021" t="s">
        <v>206</v>
      </c>
      <c r="B63" s="1031">
        <v>7500</v>
      </c>
      <c r="C63" s="1039">
        <v>5653.3</v>
      </c>
      <c r="D63" s="1039">
        <v>5429.93619</v>
      </c>
      <c r="E63" s="1037">
        <f t="shared" si="3"/>
        <v>0.9604896591371411</v>
      </c>
    </row>
    <row r="64" spans="1:5" ht="18" customHeight="1">
      <c r="A64" s="1021" t="s">
        <v>361</v>
      </c>
      <c r="B64" s="1031">
        <v>110</v>
      </c>
      <c r="C64" s="1039">
        <v>110</v>
      </c>
      <c r="D64" s="1039">
        <v>0</v>
      </c>
      <c r="E64" s="1037">
        <f t="shared" si="3"/>
        <v>0</v>
      </c>
    </row>
    <row r="65" spans="1:5" ht="18" customHeight="1">
      <c r="A65" s="1021" t="s">
        <v>362</v>
      </c>
      <c r="B65" s="1031">
        <v>230</v>
      </c>
      <c r="C65" s="1039">
        <v>2230</v>
      </c>
      <c r="D65" s="1039">
        <v>222.64</v>
      </c>
      <c r="E65" s="1037">
        <f t="shared" si="3"/>
        <v>0.09983856502242151</v>
      </c>
    </row>
    <row r="66" spans="1:5" ht="26.25" customHeight="1">
      <c r="A66" s="1021" t="s">
        <v>363</v>
      </c>
      <c r="B66" s="1031">
        <v>110</v>
      </c>
      <c r="C66" s="1039">
        <v>110</v>
      </c>
      <c r="D66" s="1039">
        <v>0</v>
      </c>
      <c r="E66" s="1008">
        <f t="shared" si="3"/>
        <v>0</v>
      </c>
    </row>
    <row r="67" spans="1:5" s="1041" customFormat="1" ht="26.25" customHeight="1">
      <c r="A67" s="1021" t="s">
        <v>364</v>
      </c>
      <c r="B67" s="1031">
        <v>1800</v>
      </c>
      <c r="C67" s="1040">
        <v>1200</v>
      </c>
      <c r="D67" s="1040">
        <v>0</v>
      </c>
      <c r="E67" s="1008">
        <f t="shared" si="3"/>
        <v>0</v>
      </c>
    </row>
    <row r="68" spans="1:5" ht="18" customHeight="1">
      <c r="A68" s="1021" t="s">
        <v>365</v>
      </c>
      <c r="B68" s="1031">
        <v>3000</v>
      </c>
      <c r="C68" s="1040">
        <v>3660</v>
      </c>
      <c r="D68" s="1040">
        <v>1559.085</v>
      </c>
      <c r="E68" s="1008">
        <f t="shared" si="3"/>
        <v>0.4259795081967213</v>
      </c>
    </row>
    <row r="69" spans="1:5" ht="18" customHeight="1">
      <c r="A69" s="1021" t="s">
        <v>366</v>
      </c>
      <c r="B69" s="1031">
        <v>2000</v>
      </c>
      <c r="C69" s="1040">
        <v>2000</v>
      </c>
      <c r="D69" s="1040">
        <v>1905.6473</v>
      </c>
      <c r="E69" s="1008">
        <f t="shared" si="3"/>
        <v>0.95282365</v>
      </c>
    </row>
    <row r="70" spans="1:5" ht="18" customHeight="1">
      <c r="A70" s="1021" t="s">
        <v>367</v>
      </c>
      <c r="B70" s="1031">
        <v>2400</v>
      </c>
      <c r="C70" s="1040">
        <v>2100</v>
      </c>
      <c r="D70" s="1040">
        <v>2055.548</v>
      </c>
      <c r="E70" s="1008">
        <f t="shared" si="3"/>
        <v>0.9788323809523809</v>
      </c>
    </row>
    <row r="71" spans="1:5" ht="26.25" customHeight="1">
      <c r="A71" s="1021" t="s">
        <v>368</v>
      </c>
      <c r="B71" s="1031">
        <v>2500</v>
      </c>
      <c r="C71" s="1040">
        <v>1100</v>
      </c>
      <c r="D71" s="1040">
        <v>605</v>
      </c>
      <c r="E71" s="1008">
        <f t="shared" si="3"/>
        <v>0.55</v>
      </c>
    </row>
    <row r="72" spans="1:5" ht="18" customHeight="1">
      <c r="A72" s="1021" t="s">
        <v>369</v>
      </c>
      <c r="B72" s="1031">
        <v>2500</v>
      </c>
      <c r="C72" s="1040">
        <v>1100</v>
      </c>
      <c r="D72" s="1040">
        <v>435.6</v>
      </c>
      <c r="E72" s="1008">
        <f t="shared" si="3"/>
        <v>0.396</v>
      </c>
    </row>
    <row r="73" spans="1:5" ht="26.25" customHeight="1">
      <c r="A73" s="1021" t="s">
        <v>370</v>
      </c>
      <c r="B73" s="1031">
        <v>58.2</v>
      </c>
      <c r="C73" s="1040">
        <v>58.2</v>
      </c>
      <c r="D73" s="1040">
        <v>48.5</v>
      </c>
      <c r="E73" s="1008">
        <f t="shared" si="3"/>
        <v>0.8333333333333333</v>
      </c>
    </row>
    <row r="74" spans="1:5" ht="26.25" customHeight="1">
      <c r="A74" s="1021" t="s">
        <v>371</v>
      </c>
      <c r="B74" s="1031">
        <v>69</v>
      </c>
      <c r="C74" s="1040">
        <v>69</v>
      </c>
      <c r="D74" s="1040">
        <v>57.5</v>
      </c>
      <c r="E74" s="1008">
        <f t="shared" si="3"/>
        <v>0.8333333333333334</v>
      </c>
    </row>
    <row r="75" spans="1:5" ht="18" customHeight="1">
      <c r="A75" s="1021" t="s">
        <v>372</v>
      </c>
      <c r="B75" s="1031">
        <v>500</v>
      </c>
      <c r="C75" s="1040">
        <v>0</v>
      </c>
      <c r="D75" s="1040">
        <v>0</v>
      </c>
      <c r="E75" s="1008">
        <v>0</v>
      </c>
    </row>
    <row r="76" spans="1:5" ht="25.5" customHeight="1">
      <c r="A76" s="1021" t="s">
        <v>373</v>
      </c>
      <c r="B76" s="1031">
        <v>500</v>
      </c>
      <c r="C76" s="1040">
        <v>500</v>
      </c>
      <c r="D76" s="1040">
        <v>0</v>
      </c>
      <c r="E76" s="1008">
        <f t="shared" si="3"/>
        <v>0</v>
      </c>
    </row>
    <row r="77" spans="1:5" ht="25.5" customHeight="1">
      <c r="A77" s="1023" t="s">
        <v>374</v>
      </c>
      <c r="B77" s="1031">
        <v>450</v>
      </c>
      <c r="C77" s="1040">
        <v>450</v>
      </c>
      <c r="D77" s="1040">
        <v>445.28</v>
      </c>
      <c r="E77" s="1008">
        <f t="shared" si="3"/>
        <v>0.989511111111111</v>
      </c>
    </row>
    <row r="78" spans="1:5" ht="18" customHeight="1">
      <c r="A78" s="1023" t="s">
        <v>375</v>
      </c>
      <c r="B78" s="1031">
        <v>1000</v>
      </c>
      <c r="C78" s="1040">
        <v>700</v>
      </c>
      <c r="D78" s="1040">
        <v>268.62</v>
      </c>
      <c r="E78" s="1008">
        <f t="shared" si="3"/>
        <v>0.38374285714285716</v>
      </c>
    </row>
    <row r="79" spans="1:5" ht="18" customHeight="1">
      <c r="A79" s="1023" t="s">
        <v>376</v>
      </c>
      <c r="B79" s="1031">
        <v>0</v>
      </c>
      <c r="C79" s="1032">
        <v>4717.6</v>
      </c>
      <c r="D79" s="1032">
        <v>4715.3715</v>
      </c>
      <c r="E79" s="1008">
        <f t="shared" si="3"/>
        <v>0.999527619976259</v>
      </c>
    </row>
    <row r="80" spans="1:5" ht="18" customHeight="1">
      <c r="A80" s="1023" t="s">
        <v>495</v>
      </c>
      <c r="B80" s="1031">
        <v>0</v>
      </c>
      <c r="C80" s="1040">
        <v>1000</v>
      </c>
      <c r="D80" s="1040">
        <v>0</v>
      </c>
      <c r="E80" s="1008">
        <f t="shared" si="3"/>
        <v>0</v>
      </c>
    </row>
    <row r="81" spans="1:5" ht="18" customHeight="1">
      <c r="A81" s="1021" t="s">
        <v>377</v>
      </c>
      <c r="B81" s="1031">
        <v>2500</v>
      </c>
      <c r="C81" s="1040">
        <v>0</v>
      </c>
      <c r="D81" s="1040">
        <v>0</v>
      </c>
      <c r="E81" s="1008">
        <v>0</v>
      </c>
    </row>
    <row r="82" spans="1:5" ht="18" customHeight="1">
      <c r="A82" s="1021" t="s">
        <v>207</v>
      </c>
      <c r="B82" s="1031">
        <v>700</v>
      </c>
      <c r="C82" s="1040">
        <v>0</v>
      </c>
      <c r="D82" s="1040">
        <v>0</v>
      </c>
      <c r="E82" s="1008">
        <v>0</v>
      </c>
    </row>
    <row r="83" spans="1:5" ht="18" customHeight="1">
      <c r="A83" s="1021" t="s">
        <v>378</v>
      </c>
      <c r="B83" s="1031">
        <v>3000</v>
      </c>
      <c r="C83" s="1040">
        <v>1300</v>
      </c>
      <c r="D83" s="1040">
        <v>226.5967</v>
      </c>
      <c r="E83" s="1008">
        <f t="shared" si="3"/>
        <v>0.17430515384615383</v>
      </c>
    </row>
    <row r="84" spans="1:5" ht="18" customHeight="1">
      <c r="A84" s="1021" t="s">
        <v>379</v>
      </c>
      <c r="B84" s="1031">
        <v>2000</v>
      </c>
      <c r="C84" s="1040">
        <v>250</v>
      </c>
      <c r="D84" s="1040">
        <v>0</v>
      </c>
      <c r="E84" s="1008">
        <f t="shared" si="3"/>
        <v>0</v>
      </c>
    </row>
    <row r="85" spans="1:5" ht="18" customHeight="1">
      <c r="A85" s="1021" t="s">
        <v>380</v>
      </c>
      <c r="B85" s="1031">
        <v>1000</v>
      </c>
      <c r="C85" s="1040">
        <v>0</v>
      </c>
      <c r="D85" s="1040">
        <v>0</v>
      </c>
      <c r="E85" s="1008">
        <v>0</v>
      </c>
    </row>
    <row r="86" spans="1:5" ht="24.75" customHeight="1">
      <c r="A86" s="1021" t="s">
        <v>381</v>
      </c>
      <c r="B86" s="1031">
        <v>0</v>
      </c>
      <c r="C86" s="1040">
        <v>604.2</v>
      </c>
      <c r="D86" s="1040">
        <v>0</v>
      </c>
      <c r="E86" s="1008">
        <f t="shared" si="3"/>
        <v>0</v>
      </c>
    </row>
    <row r="87" spans="1:5" ht="18" customHeight="1">
      <c r="A87" s="1021" t="s">
        <v>382</v>
      </c>
      <c r="B87" s="1031">
        <v>0</v>
      </c>
      <c r="C87" s="1040">
        <v>3947.8</v>
      </c>
      <c r="D87" s="1040">
        <v>3778.65318</v>
      </c>
      <c r="E87" s="1008">
        <f t="shared" si="3"/>
        <v>0.9571541567455291</v>
      </c>
    </row>
    <row r="88" spans="1:5" ht="18" customHeight="1">
      <c r="A88" s="1021" t="s">
        <v>383</v>
      </c>
      <c r="B88" s="1031">
        <v>700</v>
      </c>
      <c r="C88" s="1040">
        <v>630.2</v>
      </c>
      <c r="D88" s="1040">
        <v>630.185</v>
      </c>
      <c r="E88" s="1008">
        <v>0</v>
      </c>
    </row>
    <row r="89" spans="1:5" ht="18" customHeight="1">
      <c r="A89" s="1021" t="s">
        <v>384</v>
      </c>
      <c r="B89" s="1031">
        <v>700</v>
      </c>
      <c r="C89" s="1040">
        <v>705</v>
      </c>
      <c r="D89" s="1040">
        <v>705</v>
      </c>
      <c r="E89" s="1008">
        <f t="shared" si="3"/>
        <v>1</v>
      </c>
    </row>
    <row r="90" spans="1:5" ht="18" customHeight="1">
      <c r="A90" s="1021" t="s">
        <v>385</v>
      </c>
      <c r="B90" s="1031">
        <v>700</v>
      </c>
      <c r="C90" s="1040">
        <v>908</v>
      </c>
      <c r="D90" s="1040">
        <v>908</v>
      </c>
      <c r="E90" s="1008">
        <f t="shared" si="3"/>
        <v>1</v>
      </c>
    </row>
    <row r="91" spans="1:5" ht="18" customHeight="1">
      <c r="A91" s="1021" t="s">
        <v>386</v>
      </c>
      <c r="B91" s="1031">
        <v>700</v>
      </c>
      <c r="C91" s="1040">
        <v>615.6</v>
      </c>
      <c r="D91" s="1040">
        <v>615.587</v>
      </c>
      <c r="E91" s="1008">
        <f t="shared" si="3"/>
        <v>0.9999788823911631</v>
      </c>
    </row>
    <row r="92" spans="1:5" ht="18" customHeight="1">
      <c r="A92" s="1021" t="s">
        <v>494</v>
      </c>
      <c r="B92" s="1031">
        <v>0</v>
      </c>
      <c r="C92" s="1040">
        <v>922</v>
      </c>
      <c r="D92" s="1040">
        <v>921.7072</v>
      </c>
      <c r="E92" s="1008">
        <f t="shared" si="3"/>
        <v>0.9996824295010845</v>
      </c>
    </row>
    <row r="93" spans="1:5" ht="18" customHeight="1">
      <c r="A93" s="1021" t="s">
        <v>387</v>
      </c>
      <c r="B93" s="1031">
        <v>0</v>
      </c>
      <c r="C93" s="1040">
        <v>928.8</v>
      </c>
      <c r="D93" s="1040">
        <v>222.48</v>
      </c>
      <c r="E93" s="1008">
        <f t="shared" si="3"/>
        <v>0.23953488372093024</v>
      </c>
    </row>
    <row r="94" spans="1:5" ht="18" customHeight="1">
      <c r="A94" s="1021" t="s">
        <v>388</v>
      </c>
      <c r="B94" s="1031">
        <v>0</v>
      </c>
      <c r="C94" s="1040">
        <v>519.5</v>
      </c>
      <c r="D94" s="1040">
        <v>0</v>
      </c>
      <c r="E94" s="1008">
        <f t="shared" si="3"/>
        <v>0</v>
      </c>
    </row>
    <row r="95" spans="1:5" ht="18" customHeight="1">
      <c r="A95" s="1021" t="s">
        <v>389</v>
      </c>
      <c r="B95" s="1031">
        <v>0</v>
      </c>
      <c r="C95" s="1040">
        <v>4280.1</v>
      </c>
      <c r="D95" s="1040">
        <v>4280.1</v>
      </c>
      <c r="E95" s="1008">
        <f t="shared" si="3"/>
        <v>1</v>
      </c>
    </row>
    <row r="96" spans="1:5" ht="18" customHeight="1">
      <c r="A96" s="1021" t="s">
        <v>390</v>
      </c>
      <c r="B96" s="1031">
        <v>0</v>
      </c>
      <c r="C96" s="1040">
        <v>264.2</v>
      </c>
      <c r="D96" s="1040">
        <v>264.228</v>
      </c>
      <c r="E96" s="1008">
        <f t="shared" si="3"/>
        <v>1.000105980317941</v>
      </c>
    </row>
    <row r="97" spans="1:5" ht="18" customHeight="1">
      <c r="A97" s="1021" t="s">
        <v>391</v>
      </c>
      <c r="B97" s="1031">
        <v>0</v>
      </c>
      <c r="C97" s="1040">
        <v>440</v>
      </c>
      <c r="D97" s="1040">
        <v>440</v>
      </c>
      <c r="E97" s="1008">
        <f t="shared" si="3"/>
        <v>1</v>
      </c>
    </row>
    <row r="98" spans="1:5" ht="18" customHeight="1">
      <c r="A98" s="1021" t="s">
        <v>392</v>
      </c>
      <c r="B98" s="1031">
        <v>0</v>
      </c>
      <c r="C98" s="1040">
        <v>517.3</v>
      </c>
      <c r="D98" s="1040">
        <v>517.3</v>
      </c>
      <c r="E98" s="1008">
        <f t="shared" si="3"/>
        <v>1</v>
      </c>
    </row>
    <row r="99" spans="1:5" ht="18" customHeight="1">
      <c r="A99" s="1021" t="s">
        <v>393</v>
      </c>
      <c r="B99" s="1031">
        <v>0</v>
      </c>
      <c r="C99" s="1040">
        <v>1140.4</v>
      </c>
      <c r="D99" s="1040">
        <v>1140.31456</v>
      </c>
      <c r="E99" s="1008">
        <f t="shared" si="3"/>
        <v>0.9999250789196773</v>
      </c>
    </row>
    <row r="100" spans="1:5" ht="18" customHeight="1">
      <c r="A100" s="1021" t="s">
        <v>394</v>
      </c>
      <c r="B100" s="1031">
        <v>600</v>
      </c>
      <c r="C100" s="1040">
        <v>675.4</v>
      </c>
      <c r="D100" s="1040">
        <v>675.307</v>
      </c>
      <c r="E100" s="1008">
        <f t="shared" si="3"/>
        <v>0.9998623038199586</v>
      </c>
    </row>
    <row r="101" spans="1:5" ht="18" customHeight="1">
      <c r="A101" s="1021" t="s">
        <v>395</v>
      </c>
      <c r="B101" s="1031">
        <v>600</v>
      </c>
      <c r="C101" s="1039">
        <v>1001.7</v>
      </c>
      <c r="D101" s="1039">
        <v>1001.67</v>
      </c>
      <c r="E101" s="1008">
        <f t="shared" si="3"/>
        <v>0.999970050913447</v>
      </c>
    </row>
    <row r="102" spans="1:5" ht="18" customHeight="1">
      <c r="A102" s="1042" t="s">
        <v>396</v>
      </c>
      <c r="B102" s="1043">
        <v>350</v>
      </c>
      <c r="C102" s="1039">
        <v>459.6</v>
      </c>
      <c r="D102" s="1039">
        <v>459.506</v>
      </c>
      <c r="E102" s="1008">
        <f t="shared" si="3"/>
        <v>0.9997954743255003</v>
      </c>
    </row>
    <row r="103" spans="1:5" ht="18" customHeight="1">
      <c r="A103" s="1042" t="s">
        <v>497</v>
      </c>
      <c r="B103" s="1044">
        <v>0</v>
      </c>
      <c r="C103" s="1045">
        <v>112</v>
      </c>
      <c r="D103" s="1045">
        <v>112</v>
      </c>
      <c r="E103" s="1008">
        <f t="shared" si="3"/>
        <v>1</v>
      </c>
    </row>
    <row r="104" spans="1:5" ht="18" customHeight="1">
      <c r="A104" s="1042" t="s">
        <v>496</v>
      </c>
      <c r="B104" s="1044">
        <v>0</v>
      </c>
      <c r="C104" s="1045">
        <v>481.4</v>
      </c>
      <c r="D104" s="1045">
        <v>481.4</v>
      </c>
      <c r="E104" s="1008">
        <f t="shared" si="3"/>
        <v>1</v>
      </c>
    </row>
    <row r="105" spans="1:5" ht="18" customHeight="1">
      <c r="A105" s="1046" t="s">
        <v>397</v>
      </c>
      <c r="B105" s="1044">
        <v>600</v>
      </c>
      <c r="C105" s="1045">
        <v>600</v>
      </c>
      <c r="D105" s="1045">
        <v>524.7</v>
      </c>
      <c r="E105" s="1008">
        <f t="shared" si="3"/>
        <v>0.8745</v>
      </c>
    </row>
    <row r="106" spans="1:5" ht="18" customHeight="1">
      <c r="A106" s="1046" t="s">
        <v>398</v>
      </c>
      <c r="B106" s="1044">
        <v>1150</v>
      </c>
      <c r="C106" s="1039">
        <v>1857.4</v>
      </c>
      <c r="D106" s="1039">
        <v>1857.395</v>
      </c>
      <c r="E106" s="1008">
        <f t="shared" si="3"/>
        <v>0.9999973080650371</v>
      </c>
    </row>
    <row r="107" spans="1:5" ht="18" customHeight="1">
      <c r="A107" s="1046" t="s">
        <v>399</v>
      </c>
      <c r="B107" s="1044">
        <v>102.9</v>
      </c>
      <c r="C107" s="1039">
        <v>0</v>
      </c>
      <c r="D107" s="1039">
        <v>0</v>
      </c>
      <c r="E107" s="1008">
        <v>0</v>
      </c>
    </row>
    <row r="108" spans="1:5" ht="18" customHeight="1">
      <c r="A108" s="1046" t="s">
        <v>493</v>
      </c>
      <c r="B108" s="1044">
        <v>0</v>
      </c>
      <c r="C108" s="1039">
        <v>436.1</v>
      </c>
      <c r="D108" s="1039">
        <v>436.0527</v>
      </c>
      <c r="E108" s="1008">
        <f t="shared" si="3"/>
        <v>0.999891538637927</v>
      </c>
    </row>
    <row r="109" spans="1:5" ht="18" customHeight="1">
      <c r="A109" s="1046" t="s">
        <v>400</v>
      </c>
      <c r="B109" s="1044">
        <v>21120</v>
      </c>
      <c r="C109" s="1025">
        <v>14648.5</v>
      </c>
      <c r="D109" s="1025">
        <v>13552.30983</v>
      </c>
      <c r="E109" s="1008">
        <f t="shared" si="3"/>
        <v>0.9251670703484999</v>
      </c>
    </row>
    <row r="110" spans="1:5" ht="18" customHeight="1">
      <c r="A110" s="1046" t="s">
        <v>225</v>
      </c>
      <c r="B110" s="1044">
        <v>2379</v>
      </c>
      <c r="C110" s="1025">
        <v>2500</v>
      </c>
      <c r="D110" s="1025">
        <v>0</v>
      </c>
      <c r="E110" s="1008">
        <f t="shared" si="3"/>
        <v>0</v>
      </c>
    </row>
    <row r="111" spans="1:5" ht="18" customHeight="1">
      <c r="A111" s="1046" t="s">
        <v>401</v>
      </c>
      <c r="B111" s="1044">
        <v>879</v>
      </c>
      <c r="C111" s="1025">
        <v>1000</v>
      </c>
      <c r="D111" s="1025">
        <v>0</v>
      </c>
      <c r="E111" s="1008">
        <f t="shared" si="3"/>
        <v>0</v>
      </c>
    </row>
    <row r="112" spans="1:5" ht="18" customHeight="1">
      <c r="A112" s="1046" t="s">
        <v>402</v>
      </c>
      <c r="B112" s="1044">
        <v>1879</v>
      </c>
      <c r="C112" s="1025">
        <v>2164</v>
      </c>
      <c r="D112" s="1025">
        <v>2143.179</v>
      </c>
      <c r="E112" s="1008">
        <f t="shared" si="3"/>
        <v>0.9903784658040666</v>
      </c>
    </row>
    <row r="113" spans="1:5" ht="18" customHeight="1">
      <c r="A113" s="1046" t="s">
        <v>226</v>
      </c>
      <c r="B113" s="1044">
        <v>0</v>
      </c>
      <c r="C113" s="1025">
        <v>600</v>
      </c>
      <c r="D113" s="1025">
        <v>0</v>
      </c>
      <c r="E113" s="1008">
        <f t="shared" si="3"/>
        <v>0</v>
      </c>
    </row>
    <row r="114" spans="1:5" ht="18" customHeight="1">
      <c r="A114" s="1046" t="s">
        <v>315</v>
      </c>
      <c r="B114" s="1044">
        <v>0</v>
      </c>
      <c r="C114" s="1025">
        <v>3500</v>
      </c>
      <c r="D114" s="1025">
        <v>0</v>
      </c>
      <c r="E114" s="1008">
        <f t="shared" si="3"/>
        <v>0</v>
      </c>
    </row>
    <row r="115" spans="1:5" ht="18" customHeight="1">
      <c r="A115" s="1046" t="s">
        <v>316</v>
      </c>
      <c r="B115" s="1044">
        <v>0</v>
      </c>
      <c r="C115" s="1025">
        <v>2000</v>
      </c>
      <c r="D115" s="1025">
        <v>0</v>
      </c>
      <c r="E115" s="1008">
        <f t="shared" si="3"/>
        <v>0</v>
      </c>
    </row>
    <row r="116" spans="1:5" ht="18" customHeight="1">
      <c r="A116" s="1046" t="s">
        <v>403</v>
      </c>
      <c r="B116" s="1044">
        <v>0</v>
      </c>
      <c r="C116" s="1025">
        <v>96.7</v>
      </c>
      <c r="D116" s="1025">
        <v>96.6548</v>
      </c>
      <c r="E116" s="1008">
        <f t="shared" si="3"/>
        <v>0.9995325749741467</v>
      </c>
    </row>
    <row r="117" spans="1:5" ht="18" customHeight="1">
      <c r="A117" s="1046" t="s">
        <v>404</v>
      </c>
      <c r="B117" s="1044">
        <v>0</v>
      </c>
      <c r="C117" s="1025">
        <v>111.7</v>
      </c>
      <c r="D117" s="1025">
        <v>111.7</v>
      </c>
      <c r="E117" s="1008">
        <f t="shared" si="3"/>
        <v>1</v>
      </c>
    </row>
    <row r="118" spans="1:5" ht="18" customHeight="1">
      <c r="A118" s="1046" t="s">
        <v>405</v>
      </c>
      <c r="B118" s="1044">
        <v>0</v>
      </c>
      <c r="C118" s="1025">
        <v>850</v>
      </c>
      <c r="D118" s="1025">
        <v>850</v>
      </c>
      <c r="E118" s="1008">
        <f t="shared" si="3"/>
        <v>1</v>
      </c>
    </row>
    <row r="119" spans="1:5" ht="18" customHeight="1">
      <c r="A119" s="1046" t="s">
        <v>406</v>
      </c>
      <c r="B119" s="1044">
        <v>0</v>
      </c>
      <c r="C119" s="1025">
        <v>700</v>
      </c>
      <c r="D119" s="1025">
        <v>700</v>
      </c>
      <c r="E119" s="1008">
        <f t="shared" si="3"/>
        <v>1</v>
      </c>
    </row>
    <row r="120" spans="1:5" ht="18" customHeight="1">
      <c r="A120" s="1046" t="s">
        <v>407</v>
      </c>
      <c r="B120" s="1044">
        <v>0</v>
      </c>
      <c r="C120" s="1025">
        <v>574.3</v>
      </c>
      <c r="D120" s="1025">
        <v>574.3</v>
      </c>
      <c r="E120" s="1008">
        <f t="shared" si="3"/>
        <v>1</v>
      </c>
    </row>
    <row r="121" spans="1:5" ht="18" customHeight="1">
      <c r="A121" s="1046" t="s">
        <v>408</v>
      </c>
      <c r="B121" s="1044">
        <v>0</v>
      </c>
      <c r="C121" s="1025">
        <v>459</v>
      </c>
      <c r="D121" s="1025">
        <v>458.953</v>
      </c>
      <c r="E121" s="1008">
        <f t="shared" si="3"/>
        <v>0.9998976034858387</v>
      </c>
    </row>
    <row r="122" spans="1:5" ht="18" customHeight="1" thickBot="1">
      <c r="A122" s="1046" t="s">
        <v>409</v>
      </c>
      <c r="B122" s="1044">
        <v>965</v>
      </c>
      <c r="C122" s="1025">
        <v>8165</v>
      </c>
      <c r="D122" s="1025">
        <v>6164.3095</v>
      </c>
      <c r="E122" s="1008">
        <f t="shared" si="3"/>
        <v>0.7549674831598285</v>
      </c>
    </row>
    <row r="123" spans="1:5" ht="26.25" customHeight="1" thickBot="1" thickTop="1">
      <c r="A123" s="1088" t="s">
        <v>762</v>
      </c>
      <c r="B123" s="1085">
        <f>SUM(B56:B122)</f>
        <v>156282.09999999998</v>
      </c>
      <c r="C123" s="1085">
        <f>SUM(C56:C122)</f>
        <v>231668.69999999998</v>
      </c>
      <c r="D123" s="1085">
        <f>SUM(D56:D122)</f>
        <v>171696.89352</v>
      </c>
      <c r="E123" s="1086">
        <f t="shared" si="3"/>
        <v>0.7411311649782644</v>
      </c>
    </row>
    <row r="124" spans="1:5" ht="18" customHeight="1">
      <c r="A124" s="1029" t="s">
        <v>208</v>
      </c>
      <c r="B124" s="1047">
        <v>22000</v>
      </c>
      <c r="C124" s="1052">
        <v>32316.2</v>
      </c>
      <c r="D124" s="1052">
        <v>31967.72151</v>
      </c>
      <c r="E124" s="1037">
        <f t="shared" si="3"/>
        <v>0.9892166006523043</v>
      </c>
    </row>
    <row r="125" spans="1:5" ht="26.25" customHeight="1">
      <c r="A125" s="1021" t="s">
        <v>730</v>
      </c>
      <c r="B125" s="1047">
        <v>4200</v>
      </c>
      <c r="C125" s="1025">
        <v>6400.8</v>
      </c>
      <c r="D125" s="1025">
        <v>4796.42145</v>
      </c>
      <c r="E125" s="1008">
        <f t="shared" si="3"/>
        <v>0.7493471831646044</v>
      </c>
    </row>
    <row r="126" spans="1:5" ht="18" customHeight="1">
      <c r="A126" s="1048" t="s">
        <v>410</v>
      </c>
      <c r="B126" s="1047">
        <v>140</v>
      </c>
      <c r="C126" s="1025">
        <v>0</v>
      </c>
      <c r="D126" s="1025">
        <v>0</v>
      </c>
      <c r="E126" s="1008">
        <v>0</v>
      </c>
    </row>
    <row r="127" spans="1:5" ht="18" customHeight="1">
      <c r="A127" s="1048" t="s">
        <v>411</v>
      </c>
      <c r="B127" s="1049">
        <v>8000</v>
      </c>
      <c r="C127" s="1025">
        <v>540</v>
      </c>
      <c r="D127" s="1025">
        <v>537.482</v>
      </c>
      <c r="E127" s="1008">
        <f t="shared" si="3"/>
        <v>0.995337037037037</v>
      </c>
    </row>
    <row r="128" spans="1:5" ht="18" customHeight="1">
      <c r="A128" s="1048" t="s">
        <v>412</v>
      </c>
      <c r="B128" s="1049">
        <v>550</v>
      </c>
      <c r="C128" s="1025">
        <v>337.5</v>
      </c>
      <c r="D128" s="1025">
        <v>177.3765</v>
      </c>
      <c r="E128" s="1008">
        <f t="shared" si="3"/>
        <v>0.52556</v>
      </c>
    </row>
    <row r="129" spans="1:5" ht="26.25" customHeight="1">
      <c r="A129" s="1048" t="s">
        <v>413</v>
      </c>
      <c r="B129" s="1049">
        <v>300</v>
      </c>
      <c r="C129" s="1025">
        <v>160</v>
      </c>
      <c r="D129" s="1025">
        <v>35.332</v>
      </c>
      <c r="E129" s="1008">
        <f t="shared" si="3"/>
        <v>0.220825</v>
      </c>
    </row>
    <row r="130" spans="1:5" ht="26.25" customHeight="1">
      <c r="A130" s="1048" t="s">
        <v>731</v>
      </c>
      <c r="B130" s="1050">
        <v>700</v>
      </c>
      <c r="C130" s="1025">
        <v>0</v>
      </c>
      <c r="D130" s="1025">
        <v>0</v>
      </c>
      <c r="E130" s="1008">
        <v>0</v>
      </c>
    </row>
    <row r="131" spans="1:5" ht="18" customHeight="1">
      <c r="A131" s="1048" t="s">
        <v>414</v>
      </c>
      <c r="B131" s="1049">
        <v>250</v>
      </c>
      <c r="C131" s="1025">
        <v>0</v>
      </c>
      <c r="D131" s="1025">
        <v>0</v>
      </c>
      <c r="E131" s="1008">
        <v>0</v>
      </c>
    </row>
    <row r="132" spans="1:5" ht="18" customHeight="1">
      <c r="A132" s="1048" t="s">
        <v>415</v>
      </c>
      <c r="B132" s="1049">
        <v>250</v>
      </c>
      <c r="C132" s="1025">
        <v>0</v>
      </c>
      <c r="D132" s="1025">
        <v>0</v>
      </c>
      <c r="E132" s="1008">
        <v>0</v>
      </c>
    </row>
    <row r="133" spans="1:5" ht="18" customHeight="1">
      <c r="A133" s="1048" t="s">
        <v>416</v>
      </c>
      <c r="B133" s="1049">
        <v>2500</v>
      </c>
      <c r="C133" s="1025">
        <v>500</v>
      </c>
      <c r="D133" s="1025">
        <v>21.78</v>
      </c>
      <c r="E133" s="1008">
        <f t="shared" si="3"/>
        <v>0.04356</v>
      </c>
    </row>
    <row r="134" spans="1:5" ht="18" customHeight="1">
      <c r="A134" s="1051" t="s">
        <v>417</v>
      </c>
      <c r="B134" s="1047">
        <v>3000</v>
      </c>
      <c r="C134" s="1025">
        <v>516.5</v>
      </c>
      <c r="D134" s="1025">
        <v>0</v>
      </c>
      <c r="E134" s="1008">
        <f t="shared" si="3"/>
        <v>0</v>
      </c>
    </row>
    <row r="135" spans="1:5" ht="18" customHeight="1">
      <c r="A135" s="1051" t="s">
        <v>393</v>
      </c>
      <c r="B135" s="1047">
        <v>0</v>
      </c>
      <c r="C135" s="1052">
        <v>1116.5</v>
      </c>
      <c r="D135" s="1052">
        <v>1039.56666</v>
      </c>
      <c r="E135" s="1037">
        <f t="shared" si="3"/>
        <v>0.9310941871921182</v>
      </c>
    </row>
    <row r="136" spans="1:5" ht="18" customHeight="1" thickBot="1">
      <c r="A136" s="1053" t="s">
        <v>418</v>
      </c>
      <c r="B136" s="1047">
        <v>0</v>
      </c>
      <c r="C136" s="1052">
        <v>500</v>
      </c>
      <c r="D136" s="1052">
        <v>100</v>
      </c>
      <c r="E136" s="1037">
        <f t="shared" si="3"/>
        <v>0.2</v>
      </c>
    </row>
    <row r="137" spans="1:5" ht="26.25" customHeight="1" thickBot="1" thickTop="1">
      <c r="A137" s="1089" t="s">
        <v>763</v>
      </c>
      <c r="B137" s="1090">
        <f>SUM(B124:B136)</f>
        <v>41890</v>
      </c>
      <c r="C137" s="1090">
        <f>SUM(C124:C136)</f>
        <v>42387.5</v>
      </c>
      <c r="D137" s="1090">
        <f>SUM(D124:D136)</f>
        <v>38675.68012</v>
      </c>
      <c r="E137" s="1086">
        <f t="shared" si="3"/>
        <v>0.9124312620465939</v>
      </c>
    </row>
    <row r="138" spans="1:5" ht="18" customHeight="1">
      <c r="A138" s="1054" t="s">
        <v>419</v>
      </c>
      <c r="B138" s="1055">
        <v>2500</v>
      </c>
      <c r="C138" s="1035">
        <v>250</v>
      </c>
      <c r="D138" s="1035">
        <v>179.08</v>
      </c>
      <c r="E138" s="1037">
        <f t="shared" si="3"/>
        <v>0.7163200000000001</v>
      </c>
    </row>
    <row r="139" spans="1:5" ht="18" customHeight="1">
      <c r="A139" s="1056" t="s">
        <v>420</v>
      </c>
      <c r="B139" s="1057">
        <v>0</v>
      </c>
      <c r="C139" s="1032">
        <v>180</v>
      </c>
      <c r="D139" s="1032">
        <v>180</v>
      </c>
      <c r="E139" s="1037">
        <f t="shared" si="3"/>
        <v>1</v>
      </c>
    </row>
    <row r="140" spans="1:5" ht="18" customHeight="1">
      <c r="A140" s="1080" t="s">
        <v>417</v>
      </c>
      <c r="B140" s="1058">
        <v>500</v>
      </c>
      <c r="C140" s="1032">
        <v>0</v>
      </c>
      <c r="D140" s="1032">
        <v>0</v>
      </c>
      <c r="E140" s="1008">
        <v>0</v>
      </c>
    </row>
    <row r="141" spans="1:5" ht="18" customHeight="1" thickBot="1">
      <c r="A141" s="1059" t="s">
        <v>421</v>
      </c>
      <c r="B141" s="1060">
        <v>200</v>
      </c>
      <c r="C141" s="1032">
        <v>200</v>
      </c>
      <c r="D141" s="1032">
        <v>182</v>
      </c>
      <c r="E141" s="1037">
        <f aca="true" t="shared" si="4" ref="E141:E196">D141/C141</f>
        <v>0.91</v>
      </c>
    </row>
    <row r="142" spans="1:5" ht="24.75" customHeight="1" thickBot="1" thickTop="1">
      <c r="A142" s="1084" t="s">
        <v>764</v>
      </c>
      <c r="B142" s="1090">
        <f>SUM(B138:B141)</f>
        <v>3200</v>
      </c>
      <c r="C142" s="1090">
        <f>SUM(C138:C141)</f>
        <v>630</v>
      </c>
      <c r="D142" s="1090">
        <f>SUM(D138:D141)</f>
        <v>541.08</v>
      </c>
      <c r="E142" s="1086">
        <f t="shared" si="4"/>
        <v>0.8588571428571429</v>
      </c>
    </row>
    <row r="143" spans="1:5" ht="18" customHeight="1">
      <c r="A143" s="1061" t="s">
        <v>422</v>
      </c>
      <c r="B143" s="1055">
        <v>2500</v>
      </c>
      <c r="C143" s="1035">
        <v>0</v>
      </c>
      <c r="D143" s="1035">
        <v>0</v>
      </c>
      <c r="E143" s="1037">
        <v>0</v>
      </c>
    </row>
    <row r="144" spans="1:5" ht="18" customHeight="1">
      <c r="A144" s="1062" t="s">
        <v>209</v>
      </c>
      <c r="B144" s="1055">
        <f>11000+7582.3</f>
        <v>18582.3</v>
      </c>
      <c r="C144" s="1032">
        <v>22428.3</v>
      </c>
      <c r="D144" s="1032">
        <v>22113.85208</v>
      </c>
      <c r="E144" s="1037">
        <f t="shared" si="4"/>
        <v>0.9859798593740944</v>
      </c>
    </row>
    <row r="145" spans="1:5" ht="18" customHeight="1">
      <c r="A145" s="1062" t="s">
        <v>423</v>
      </c>
      <c r="B145" s="1055">
        <v>534.9</v>
      </c>
      <c r="C145" s="1032">
        <v>534.9</v>
      </c>
      <c r="D145" s="1032">
        <v>0</v>
      </c>
      <c r="E145" s="1037">
        <f t="shared" si="4"/>
        <v>0</v>
      </c>
    </row>
    <row r="146" spans="1:5" ht="18" customHeight="1">
      <c r="A146" s="1062" t="s">
        <v>424</v>
      </c>
      <c r="B146" s="1052">
        <v>0</v>
      </c>
      <c r="C146" s="1040">
        <v>98</v>
      </c>
      <c r="D146" s="1040">
        <v>0</v>
      </c>
      <c r="E146" s="1037">
        <f t="shared" si="4"/>
        <v>0</v>
      </c>
    </row>
    <row r="147" spans="1:5" ht="26.25" customHeight="1">
      <c r="A147" s="1062" t="s">
        <v>484</v>
      </c>
      <c r="B147" s="1052">
        <v>0</v>
      </c>
      <c r="C147" s="1040">
        <v>79.7</v>
      </c>
      <c r="D147" s="1040">
        <v>79.6422</v>
      </c>
      <c r="E147" s="1037">
        <f t="shared" si="4"/>
        <v>0.9992747804265998</v>
      </c>
    </row>
    <row r="148" spans="1:5" ht="18" customHeight="1" thickBot="1">
      <c r="A148" s="1063" t="s">
        <v>425</v>
      </c>
      <c r="B148" s="1052">
        <v>0</v>
      </c>
      <c r="C148" s="1040">
        <v>2500</v>
      </c>
      <c r="D148" s="1040">
        <v>1919.487</v>
      </c>
      <c r="E148" s="1037">
        <f t="shared" si="4"/>
        <v>0.7677948</v>
      </c>
    </row>
    <row r="149" spans="1:5" ht="25.5" customHeight="1" thickBot="1" thickTop="1">
      <c r="A149" s="1084" t="s">
        <v>765</v>
      </c>
      <c r="B149" s="1091">
        <f>SUM(B143:B148)</f>
        <v>21617.2</v>
      </c>
      <c r="C149" s="1091">
        <f>SUM(C143:C148)</f>
        <v>25640.9</v>
      </c>
      <c r="D149" s="1091">
        <f>SUM(D143:D148)</f>
        <v>24112.98128</v>
      </c>
      <c r="E149" s="1086">
        <f t="shared" si="4"/>
        <v>0.9404108779333018</v>
      </c>
    </row>
    <row r="150" spans="1:5" ht="18" customHeight="1">
      <c r="A150" s="1034" t="s">
        <v>426</v>
      </c>
      <c r="B150" s="1022">
        <v>2400</v>
      </c>
      <c r="C150" s="1040">
        <v>0</v>
      </c>
      <c r="D150" s="1040">
        <v>0</v>
      </c>
      <c r="E150" s="1037">
        <v>0</v>
      </c>
    </row>
    <row r="151" spans="1:5" ht="18" customHeight="1">
      <c r="A151" s="1023" t="s">
        <v>427</v>
      </c>
      <c r="B151" s="1065">
        <v>2000</v>
      </c>
      <c r="C151" s="1039">
        <v>2000</v>
      </c>
      <c r="D151" s="1039">
        <v>1294.7</v>
      </c>
      <c r="E151" s="1008">
        <f t="shared" si="4"/>
        <v>0.64735</v>
      </c>
    </row>
    <row r="152" spans="1:5" ht="18" customHeight="1">
      <c r="A152" s="1023" t="s">
        <v>498</v>
      </c>
      <c r="B152" s="1064">
        <v>2500</v>
      </c>
      <c r="C152" s="1039">
        <v>0</v>
      </c>
      <c r="D152" s="1039">
        <v>0</v>
      </c>
      <c r="E152" s="1008">
        <v>0</v>
      </c>
    </row>
    <row r="153" spans="1:5" ht="18" customHeight="1">
      <c r="A153" s="1023" t="s">
        <v>428</v>
      </c>
      <c r="B153" s="1064">
        <v>1500</v>
      </c>
      <c r="C153" s="1039">
        <v>0</v>
      </c>
      <c r="D153" s="1039">
        <v>0</v>
      </c>
      <c r="E153" s="1008">
        <v>0</v>
      </c>
    </row>
    <row r="154" spans="1:5" ht="18" customHeight="1">
      <c r="A154" s="1023" t="s">
        <v>429</v>
      </c>
      <c r="B154" s="1064">
        <v>2400</v>
      </c>
      <c r="C154" s="1039">
        <v>0</v>
      </c>
      <c r="D154" s="1039">
        <v>0</v>
      </c>
      <c r="E154" s="1008">
        <v>0</v>
      </c>
    </row>
    <row r="155" spans="1:5" ht="18" customHeight="1">
      <c r="A155" s="1021" t="s">
        <v>430</v>
      </c>
      <c r="B155" s="1064">
        <v>5500</v>
      </c>
      <c r="C155" s="1039">
        <v>0</v>
      </c>
      <c r="D155" s="1039">
        <v>0</v>
      </c>
      <c r="E155" s="1008">
        <v>0</v>
      </c>
    </row>
    <row r="156" spans="1:5" ht="26.25" customHeight="1">
      <c r="A156" s="1021" t="s">
        <v>431</v>
      </c>
      <c r="B156" s="1064">
        <v>2500</v>
      </c>
      <c r="C156" s="1039">
        <v>3008.2</v>
      </c>
      <c r="D156" s="1039">
        <v>2776.95</v>
      </c>
      <c r="E156" s="1008">
        <f t="shared" si="4"/>
        <v>0.9231267867827937</v>
      </c>
    </row>
    <row r="157" spans="1:5" ht="18" customHeight="1">
      <c r="A157" s="1023" t="s">
        <v>432</v>
      </c>
      <c r="B157" s="1064">
        <v>3000</v>
      </c>
      <c r="C157" s="1039">
        <v>35000</v>
      </c>
      <c r="D157" s="1039">
        <v>2272.38</v>
      </c>
      <c r="E157" s="1008">
        <f t="shared" si="4"/>
        <v>0.06492514285714286</v>
      </c>
    </row>
    <row r="158" spans="1:5" ht="18" customHeight="1">
      <c r="A158" s="1023" t="s">
        <v>433</v>
      </c>
      <c r="B158" s="1064">
        <v>100</v>
      </c>
      <c r="C158" s="1039">
        <v>100</v>
      </c>
      <c r="D158" s="1039">
        <v>54</v>
      </c>
      <c r="E158" s="1008">
        <f t="shared" si="4"/>
        <v>0.54</v>
      </c>
    </row>
    <row r="159" spans="1:5" ht="18" customHeight="1">
      <c r="A159" s="1023" t="s">
        <v>434</v>
      </c>
      <c r="B159" s="1064">
        <v>110</v>
      </c>
      <c r="C159" s="1039">
        <v>110</v>
      </c>
      <c r="D159" s="1039">
        <v>59.5</v>
      </c>
      <c r="E159" s="1008">
        <f t="shared" si="4"/>
        <v>0.5409090909090909</v>
      </c>
    </row>
    <row r="160" spans="1:5" ht="18" customHeight="1">
      <c r="A160" s="1023" t="s">
        <v>435</v>
      </c>
      <c r="B160" s="1064">
        <v>140</v>
      </c>
      <c r="C160" s="1039">
        <v>140</v>
      </c>
      <c r="D160" s="1039">
        <v>76.5</v>
      </c>
      <c r="E160" s="1008">
        <f t="shared" si="4"/>
        <v>0.5464285714285714</v>
      </c>
    </row>
    <row r="161" spans="1:5" ht="18" customHeight="1">
      <c r="A161" s="1021" t="s">
        <v>436</v>
      </c>
      <c r="B161" s="1064">
        <v>200</v>
      </c>
      <c r="C161" s="1039">
        <v>200</v>
      </c>
      <c r="D161" s="1039">
        <v>102.85</v>
      </c>
      <c r="E161" s="1008">
        <f t="shared" si="4"/>
        <v>0.51425</v>
      </c>
    </row>
    <row r="162" spans="1:5" ht="18" customHeight="1">
      <c r="A162" s="1023" t="s">
        <v>499</v>
      </c>
      <c r="B162" s="1064">
        <v>350</v>
      </c>
      <c r="C162" s="1039">
        <v>350</v>
      </c>
      <c r="D162" s="1039">
        <v>0</v>
      </c>
      <c r="E162" s="1008">
        <f t="shared" si="4"/>
        <v>0</v>
      </c>
    </row>
    <row r="163" spans="1:5" ht="18" customHeight="1">
      <c r="A163" s="1023" t="s">
        <v>437</v>
      </c>
      <c r="B163" s="1064">
        <v>6600</v>
      </c>
      <c r="C163" s="1039">
        <v>20</v>
      </c>
      <c r="D163" s="1039">
        <v>18.15</v>
      </c>
      <c r="E163" s="1008">
        <f t="shared" si="4"/>
        <v>0.9075</v>
      </c>
    </row>
    <row r="164" spans="1:5" ht="18" customHeight="1">
      <c r="A164" s="1021" t="s">
        <v>438</v>
      </c>
      <c r="B164" s="1064">
        <v>1500</v>
      </c>
      <c r="C164" s="1039">
        <v>6288.5</v>
      </c>
      <c r="D164" s="1039">
        <v>3436.06803</v>
      </c>
      <c r="E164" s="1008">
        <f t="shared" si="4"/>
        <v>0.5464050298163314</v>
      </c>
    </row>
    <row r="165" spans="1:5" ht="18" customHeight="1">
      <c r="A165" s="1021" t="s">
        <v>210</v>
      </c>
      <c r="B165" s="1064">
        <v>2000</v>
      </c>
      <c r="C165" s="1039">
        <v>500</v>
      </c>
      <c r="D165" s="1039">
        <v>106.48</v>
      </c>
      <c r="E165" s="1008">
        <f t="shared" si="4"/>
        <v>0.21296</v>
      </c>
    </row>
    <row r="166" spans="1:5" ht="18" customHeight="1">
      <c r="A166" s="1021" t="s">
        <v>189</v>
      </c>
      <c r="B166" s="1064">
        <v>2000</v>
      </c>
      <c r="C166" s="1039">
        <v>491.8</v>
      </c>
      <c r="D166" s="1039">
        <v>96.8</v>
      </c>
      <c r="E166" s="1008">
        <f t="shared" si="4"/>
        <v>0.19682797885319234</v>
      </c>
    </row>
    <row r="167" spans="1:5" ht="25.5" customHeight="1">
      <c r="A167" s="1021" t="s">
        <v>728</v>
      </c>
      <c r="B167" s="1064">
        <v>350</v>
      </c>
      <c r="C167" s="1039">
        <v>350</v>
      </c>
      <c r="D167" s="1039">
        <v>0</v>
      </c>
      <c r="E167" s="1008">
        <f t="shared" si="4"/>
        <v>0</v>
      </c>
    </row>
    <row r="168" spans="1:5" ht="25.5" customHeight="1">
      <c r="A168" s="1021" t="s">
        <v>439</v>
      </c>
      <c r="B168" s="1007">
        <v>1000</v>
      </c>
      <c r="C168" s="1039">
        <v>2548.3</v>
      </c>
      <c r="D168" s="1039">
        <v>2455.69378</v>
      </c>
      <c r="E168" s="1008">
        <f t="shared" si="4"/>
        <v>0.9636596083663619</v>
      </c>
    </row>
    <row r="169" spans="1:5" ht="18" customHeight="1" thickBot="1">
      <c r="A169" s="1023" t="s">
        <v>440</v>
      </c>
      <c r="B169" s="1007">
        <v>2050</v>
      </c>
      <c r="C169" s="1039">
        <v>2387.5</v>
      </c>
      <c r="D169" s="1039">
        <v>2387.5</v>
      </c>
      <c r="E169" s="1008">
        <f t="shared" si="4"/>
        <v>1</v>
      </c>
    </row>
    <row r="170" spans="1:5" ht="26.25" customHeight="1" thickBot="1" thickTop="1">
      <c r="A170" s="1084" t="s">
        <v>766</v>
      </c>
      <c r="B170" s="1092">
        <f>SUM(B150:B169)</f>
        <v>38200</v>
      </c>
      <c r="C170" s="1092">
        <f>SUM(C150:C169)</f>
        <v>53494.3</v>
      </c>
      <c r="D170" s="1092">
        <f>SUM(D150:D169)</f>
        <v>15137.571809999998</v>
      </c>
      <c r="E170" s="1086">
        <f t="shared" si="4"/>
        <v>0.28297541625930234</v>
      </c>
    </row>
    <row r="171" spans="1:5" ht="27" customHeight="1">
      <c r="A171" s="1066" t="s">
        <v>769</v>
      </c>
      <c r="B171" s="1067">
        <v>1000</v>
      </c>
      <c r="C171" s="1035">
        <v>4159.5</v>
      </c>
      <c r="D171" s="1035">
        <v>4095.37602</v>
      </c>
      <c r="E171" s="1037">
        <f t="shared" si="4"/>
        <v>0.9845837288135594</v>
      </c>
    </row>
    <row r="172" spans="1:5" ht="18" customHeight="1">
      <c r="A172" s="1048" t="s">
        <v>441</v>
      </c>
      <c r="B172" s="1068">
        <v>5500</v>
      </c>
      <c r="C172" s="1032">
        <v>500</v>
      </c>
      <c r="D172" s="1032">
        <v>0</v>
      </c>
      <c r="E172" s="1008">
        <f t="shared" si="4"/>
        <v>0</v>
      </c>
    </row>
    <row r="173" spans="1:5" ht="18" customHeight="1">
      <c r="A173" s="1069" t="s">
        <v>442</v>
      </c>
      <c r="B173" s="1068">
        <v>1600</v>
      </c>
      <c r="C173" s="1032">
        <v>1600</v>
      </c>
      <c r="D173" s="1032">
        <v>1426.29921</v>
      </c>
      <c r="E173" s="1008">
        <f t="shared" si="4"/>
        <v>0.8914370062499999</v>
      </c>
    </row>
    <row r="174" spans="1:5" ht="18" customHeight="1">
      <c r="A174" s="1048" t="s">
        <v>443</v>
      </c>
      <c r="B174" s="1068">
        <v>400</v>
      </c>
      <c r="C174" s="1032">
        <v>0</v>
      </c>
      <c r="D174" s="1032">
        <v>0</v>
      </c>
      <c r="E174" s="1008">
        <v>0</v>
      </c>
    </row>
    <row r="175" spans="1:5" ht="18" customHeight="1">
      <c r="A175" s="1048" t="s">
        <v>444</v>
      </c>
      <c r="B175" s="1049">
        <v>3000</v>
      </c>
      <c r="C175" s="1032">
        <v>0</v>
      </c>
      <c r="D175" s="1032">
        <v>0</v>
      </c>
      <c r="E175" s="1008">
        <v>0</v>
      </c>
    </row>
    <row r="176" spans="1:5" ht="18" customHeight="1">
      <c r="A176" s="1048" t="s">
        <v>445</v>
      </c>
      <c r="B176" s="1070">
        <v>1500</v>
      </c>
      <c r="C176" s="1032">
        <v>0</v>
      </c>
      <c r="D176" s="1032">
        <v>0</v>
      </c>
      <c r="E176" s="1008">
        <v>0</v>
      </c>
    </row>
    <row r="177" spans="1:5" ht="18" customHeight="1">
      <c r="A177" s="1048" t="s">
        <v>446</v>
      </c>
      <c r="B177" s="1071">
        <v>1000</v>
      </c>
      <c r="C177" s="1032">
        <v>0</v>
      </c>
      <c r="D177" s="1032">
        <v>0</v>
      </c>
      <c r="E177" s="1008">
        <v>0</v>
      </c>
    </row>
    <row r="178" spans="1:5" ht="26.25" customHeight="1">
      <c r="A178" s="1048" t="s">
        <v>447</v>
      </c>
      <c r="B178" s="1072">
        <v>1000</v>
      </c>
      <c r="C178" s="1032">
        <v>0</v>
      </c>
      <c r="D178" s="1032">
        <v>0</v>
      </c>
      <c r="E178" s="1008">
        <v>0</v>
      </c>
    </row>
    <row r="179" spans="1:5" ht="18" customHeight="1">
      <c r="A179" s="1048" t="s">
        <v>448</v>
      </c>
      <c r="B179" s="1073">
        <v>500</v>
      </c>
      <c r="C179" s="1032">
        <v>500</v>
      </c>
      <c r="D179" s="1032">
        <v>318.11063</v>
      </c>
      <c r="E179" s="1008">
        <f t="shared" si="4"/>
        <v>0.63622126</v>
      </c>
    </row>
    <row r="180" spans="1:5" ht="18" customHeight="1">
      <c r="A180" s="1048" t="s">
        <v>174</v>
      </c>
      <c r="B180" s="1072">
        <v>1000</v>
      </c>
      <c r="C180" s="1032">
        <v>0</v>
      </c>
      <c r="D180" s="1032">
        <v>0</v>
      </c>
      <c r="E180" s="1008">
        <v>0</v>
      </c>
    </row>
    <row r="181" spans="1:5" ht="18" customHeight="1">
      <c r="A181" s="1021" t="s">
        <v>449</v>
      </c>
      <c r="B181" s="1073">
        <v>2500</v>
      </c>
      <c r="C181" s="1032">
        <v>0</v>
      </c>
      <c r="D181" s="1032">
        <v>0</v>
      </c>
      <c r="E181" s="1008">
        <v>0</v>
      </c>
    </row>
    <row r="182" spans="1:5" ht="18" customHeight="1">
      <c r="A182" s="1048" t="s">
        <v>450</v>
      </c>
      <c r="B182" s="1073">
        <v>1700</v>
      </c>
      <c r="C182" s="1032">
        <v>1700</v>
      </c>
      <c r="D182" s="1032">
        <v>1469.718</v>
      </c>
      <c r="E182" s="1008">
        <f t="shared" si="4"/>
        <v>0.8645400000000001</v>
      </c>
    </row>
    <row r="183" spans="1:5" ht="18" customHeight="1">
      <c r="A183" s="1048" t="s">
        <v>451</v>
      </c>
      <c r="B183" s="1073">
        <v>550</v>
      </c>
      <c r="C183" s="1032">
        <v>550</v>
      </c>
      <c r="D183" s="1032">
        <v>258.2624</v>
      </c>
      <c r="E183" s="1008">
        <f t="shared" si="4"/>
        <v>0.46956800000000004</v>
      </c>
    </row>
    <row r="184" spans="1:5" ht="18" customHeight="1">
      <c r="A184" s="1048" t="s">
        <v>452</v>
      </c>
      <c r="B184" s="1073">
        <v>100</v>
      </c>
      <c r="C184" s="1032">
        <v>100</v>
      </c>
      <c r="D184" s="1032">
        <v>0</v>
      </c>
      <c r="E184" s="1008">
        <f t="shared" si="4"/>
        <v>0</v>
      </c>
    </row>
    <row r="185" spans="1:5" ht="18" customHeight="1">
      <c r="A185" s="1051" t="s">
        <v>453</v>
      </c>
      <c r="B185" s="1073">
        <v>2900</v>
      </c>
      <c r="C185" s="1032">
        <v>1617.5</v>
      </c>
      <c r="D185" s="1032">
        <v>0</v>
      </c>
      <c r="E185" s="1008">
        <f t="shared" si="4"/>
        <v>0</v>
      </c>
    </row>
    <row r="186" spans="1:5" ht="18" customHeight="1">
      <c r="A186" s="1048" t="s">
        <v>488</v>
      </c>
      <c r="B186" s="1073">
        <v>1700</v>
      </c>
      <c r="C186" s="1032">
        <v>158.1</v>
      </c>
      <c r="D186" s="1032">
        <v>125.2005</v>
      </c>
      <c r="E186" s="1008">
        <f t="shared" si="4"/>
        <v>0.7919070208728654</v>
      </c>
    </row>
    <row r="187" spans="1:5" ht="18" customHeight="1">
      <c r="A187" s="1048" t="s">
        <v>489</v>
      </c>
      <c r="B187" s="1073">
        <v>5000</v>
      </c>
      <c r="C187" s="1032">
        <v>519.9</v>
      </c>
      <c r="D187" s="1032">
        <v>212.3447</v>
      </c>
      <c r="E187" s="1008">
        <f t="shared" si="4"/>
        <v>0.4084337372571648</v>
      </c>
    </row>
    <row r="188" spans="1:5" ht="18" customHeight="1">
      <c r="A188" s="1021" t="s">
        <v>490</v>
      </c>
      <c r="B188" s="1073">
        <v>0</v>
      </c>
      <c r="C188" s="1032">
        <v>180</v>
      </c>
      <c r="D188" s="1032">
        <v>180</v>
      </c>
      <c r="E188" s="1008">
        <f t="shared" si="4"/>
        <v>1</v>
      </c>
    </row>
    <row r="189" spans="1:5" ht="18" customHeight="1">
      <c r="A189" s="1021" t="s">
        <v>485</v>
      </c>
      <c r="B189" s="1073">
        <v>300</v>
      </c>
      <c r="C189" s="1032">
        <v>0</v>
      </c>
      <c r="D189" s="1032">
        <v>0</v>
      </c>
      <c r="E189" s="1008">
        <v>0</v>
      </c>
    </row>
    <row r="190" spans="1:5" ht="27" customHeight="1">
      <c r="A190" s="1021" t="s">
        <v>486</v>
      </c>
      <c r="B190" s="1073">
        <v>200</v>
      </c>
      <c r="C190" s="1032">
        <v>200</v>
      </c>
      <c r="D190" s="1032">
        <v>0</v>
      </c>
      <c r="E190" s="1008">
        <v>0</v>
      </c>
    </row>
    <row r="191" spans="1:5" ht="18" customHeight="1">
      <c r="A191" s="1048" t="s">
        <v>454</v>
      </c>
      <c r="B191" s="1073">
        <v>2000</v>
      </c>
      <c r="C191" s="1032">
        <v>2000</v>
      </c>
      <c r="D191" s="1032">
        <v>0</v>
      </c>
      <c r="E191" s="1008">
        <f t="shared" si="4"/>
        <v>0</v>
      </c>
    </row>
    <row r="192" spans="1:5" ht="18" customHeight="1">
      <c r="A192" s="1048" t="s">
        <v>455</v>
      </c>
      <c r="B192" s="1072">
        <v>1000</v>
      </c>
      <c r="C192" s="1032">
        <v>1000</v>
      </c>
      <c r="D192" s="1032">
        <v>0</v>
      </c>
      <c r="E192" s="1008">
        <f t="shared" si="4"/>
        <v>0</v>
      </c>
    </row>
    <row r="193" spans="1:5" ht="26.25" customHeight="1">
      <c r="A193" s="1074" t="s">
        <v>456</v>
      </c>
      <c r="B193" s="1073">
        <v>3000</v>
      </c>
      <c r="C193" s="1032">
        <v>3000</v>
      </c>
      <c r="D193" s="1032">
        <v>428.824</v>
      </c>
      <c r="E193" s="1008">
        <f t="shared" si="4"/>
        <v>0.14294133333333334</v>
      </c>
    </row>
    <row r="194" spans="1:5" ht="18" customHeight="1">
      <c r="A194" s="1074" t="s">
        <v>457</v>
      </c>
      <c r="B194" s="1073">
        <v>0</v>
      </c>
      <c r="C194" s="1032">
        <v>1282.5</v>
      </c>
      <c r="D194" s="1032">
        <v>1282.458</v>
      </c>
      <c r="E194" s="1008">
        <f t="shared" si="4"/>
        <v>0.9999672514619884</v>
      </c>
    </row>
    <row r="195" spans="1:5" ht="18" customHeight="1">
      <c r="A195" s="1074" t="s">
        <v>458</v>
      </c>
      <c r="B195" s="1073">
        <v>0</v>
      </c>
      <c r="C195" s="1032">
        <v>1278.3</v>
      </c>
      <c r="D195" s="1032">
        <v>1278.2682</v>
      </c>
      <c r="E195" s="1008">
        <f t="shared" si="4"/>
        <v>0.999975123210514</v>
      </c>
    </row>
    <row r="196" spans="1:5" ht="18" customHeight="1">
      <c r="A196" s="1074" t="s">
        <v>487</v>
      </c>
      <c r="B196" s="1073">
        <v>0</v>
      </c>
      <c r="C196" s="1032">
        <v>813</v>
      </c>
      <c r="D196" s="1032">
        <v>812.53436</v>
      </c>
      <c r="E196" s="1008">
        <f t="shared" si="4"/>
        <v>0.9994272570725707</v>
      </c>
    </row>
    <row r="197" spans="1:5" ht="18" customHeight="1">
      <c r="A197" s="1048" t="s">
        <v>459</v>
      </c>
      <c r="B197" s="1075">
        <v>400</v>
      </c>
      <c r="C197" s="1032">
        <v>400</v>
      </c>
      <c r="D197" s="1032">
        <v>400</v>
      </c>
      <c r="E197" s="1008">
        <f aca="true" t="shared" si="5" ref="E197:E202">D197/C197</f>
        <v>1</v>
      </c>
    </row>
    <row r="198" spans="1:5" ht="18" customHeight="1" thickBot="1">
      <c r="A198" s="1053" t="s">
        <v>460</v>
      </c>
      <c r="B198" s="1076">
        <v>1000</v>
      </c>
      <c r="C198" s="1032">
        <v>2117.5</v>
      </c>
      <c r="D198" s="1032">
        <v>2117.464</v>
      </c>
      <c r="E198" s="1008">
        <f t="shared" si="5"/>
        <v>0.9999829988193625</v>
      </c>
    </row>
    <row r="199" spans="1:5" ht="25.5" customHeight="1" thickBot="1" thickTop="1">
      <c r="A199" s="1084" t="s">
        <v>767</v>
      </c>
      <c r="B199" s="1087">
        <f>SUM(B171:B198)</f>
        <v>38850</v>
      </c>
      <c r="C199" s="1087">
        <f>SUM(C171:C198)</f>
        <v>23676.3</v>
      </c>
      <c r="D199" s="1087">
        <f>SUM(D171:D198)</f>
        <v>14404.86002</v>
      </c>
      <c r="E199" s="1086">
        <f t="shared" si="5"/>
        <v>0.608408409253135</v>
      </c>
    </row>
    <row r="200" spans="1:5" ht="18" customHeight="1" thickBot="1">
      <c r="A200" s="1093" t="s">
        <v>729</v>
      </c>
      <c r="B200" s="1094">
        <v>0</v>
      </c>
      <c r="C200" s="1035">
        <v>4872.1</v>
      </c>
      <c r="D200" s="1035">
        <v>0</v>
      </c>
      <c r="E200" s="1037">
        <f t="shared" si="5"/>
        <v>0</v>
      </c>
    </row>
    <row r="201" spans="1:5" ht="25.5" customHeight="1" thickBot="1" thickTop="1">
      <c r="A201" s="1020" t="s">
        <v>768</v>
      </c>
      <c r="B201" s="1038">
        <f>SUM(B200)</f>
        <v>0</v>
      </c>
      <c r="C201" s="1038">
        <f>SUM(C200)</f>
        <v>4872.1</v>
      </c>
      <c r="D201" s="1038">
        <f>SUM(D200)</f>
        <v>0</v>
      </c>
      <c r="E201" s="1028">
        <f t="shared" si="5"/>
        <v>0</v>
      </c>
    </row>
    <row r="202" spans="1:5" ht="35.25" customHeight="1" thickBot="1">
      <c r="A202" s="1077" t="s">
        <v>62</v>
      </c>
      <c r="B202" s="1078">
        <f>B47+B123+B137+B142+B149+B170+B199+B55+B17+B201</f>
        <v>453351</v>
      </c>
      <c r="C202" s="1078">
        <f>C47+C123+C137+C142+C149+C170+C199+C55+C17+C201</f>
        <v>569477.5</v>
      </c>
      <c r="D202" s="1078">
        <f>D47+D123+D137+D142+D149+D170+D199+D55+D17+D201</f>
        <v>334943.58199000004</v>
      </c>
      <c r="E202" s="1079">
        <f t="shared" si="5"/>
        <v>0.5881594654573711</v>
      </c>
    </row>
  </sheetData>
  <sheetProtection/>
  <mergeCells count="3">
    <mergeCell ref="A1:D1"/>
    <mergeCell ref="A3:E3"/>
    <mergeCell ref="A15:E15"/>
  </mergeCells>
  <printOptions horizontalCentered="1"/>
  <pageMargins left="0.35433070866141736" right="0.15748031496062992" top="0.4724409448818898" bottom="0.5511811023622047" header="0.31496062992125984" footer="0.2362204724409449"/>
  <pageSetup fitToHeight="0" horizontalDpi="600" verticalDpi="600" orientation="portrait" paperSize="9" scale="75" r:id="rId1"/>
  <headerFooter>
    <oddFooter>&amp;L&amp;"Times New Roman,Obyčejné"Přehled o hospodaření za rok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L121"/>
  <sheetViews>
    <sheetView view="pageBreakPreview" zoomScale="70" zoomScaleNormal="89" zoomScaleSheetLayoutView="70" workbookViewId="0" topLeftCell="AG1">
      <selection activeCell="BJ43" sqref="BJ43"/>
    </sheetView>
  </sheetViews>
  <sheetFormatPr defaultColWidth="9.00390625" defaultRowHeight="12.75"/>
  <cols>
    <col min="1" max="1" width="4.25390625" style="2" customWidth="1"/>
    <col min="2" max="2" width="37.00390625" style="2" customWidth="1"/>
    <col min="3" max="14" width="10.75390625" style="2" customWidth="1"/>
    <col min="15" max="15" width="4.75390625" style="2" customWidth="1"/>
    <col min="16" max="16" width="36.875" style="2" customWidth="1"/>
    <col min="17" max="28" width="10.75390625" style="2" customWidth="1"/>
    <col min="29" max="29" width="3.875" style="2" hidden="1" customWidth="1"/>
    <col min="30" max="30" width="4.75390625" style="2" hidden="1" customWidth="1"/>
    <col min="31" max="31" width="4.625" style="2" customWidth="1"/>
    <col min="32" max="32" width="37.75390625" style="2" customWidth="1"/>
    <col min="33" max="42" width="10.75390625" style="2" customWidth="1"/>
    <col min="43" max="43" width="11.25390625" style="2" customWidth="1"/>
    <col min="44" max="44" width="12.625" style="2" customWidth="1"/>
    <col min="45" max="45" width="5.125" style="2" customWidth="1"/>
    <col min="46" max="46" width="36.00390625" style="2" customWidth="1"/>
    <col min="47" max="54" width="10.75390625" style="2" customWidth="1"/>
    <col min="55" max="55" width="11.375" style="2" customWidth="1"/>
    <col min="56" max="57" width="11.25390625" style="2" bestFit="1" customWidth="1"/>
    <col min="58" max="58" width="10.75390625" style="2" customWidth="1"/>
    <col min="59" max="59" width="11.25390625" style="2" customWidth="1"/>
    <col min="60" max="60" width="36.375" style="2" customWidth="1"/>
    <col min="61" max="61" width="11.875" style="2" customWidth="1"/>
    <col min="62" max="62" width="11.375" style="2" customWidth="1"/>
    <col min="63" max="63" width="11.25390625" style="2" customWidth="1"/>
    <col min="64" max="64" width="13.25390625" style="2" customWidth="1"/>
    <col min="65" max="16384" width="9.125" style="2" customWidth="1"/>
  </cols>
  <sheetData>
    <row r="1" spans="1:64" ht="92.25" customHeight="1">
      <c r="A1" s="1420" t="s">
        <v>734</v>
      </c>
      <c r="B1" s="1421"/>
      <c r="C1" s="1421"/>
      <c r="D1" s="1421"/>
      <c r="E1" s="1421"/>
      <c r="F1" s="1421"/>
      <c r="G1" s="1421"/>
      <c r="H1" s="1421"/>
      <c r="I1" s="1421"/>
      <c r="J1" s="1421"/>
      <c r="K1" s="1421"/>
      <c r="L1" s="1421"/>
      <c r="M1" s="1451" t="s">
        <v>735</v>
      </c>
      <c r="N1" s="1452"/>
      <c r="O1" s="1420" t="s">
        <v>734</v>
      </c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51" t="s">
        <v>735</v>
      </c>
      <c r="AB1" s="1452"/>
      <c r="AC1" s="7"/>
      <c r="AD1" s="7"/>
      <c r="AE1" s="1420" t="s">
        <v>734</v>
      </c>
      <c r="AF1" s="1420"/>
      <c r="AG1" s="1420"/>
      <c r="AH1" s="1420"/>
      <c r="AI1" s="1420"/>
      <c r="AJ1" s="1420"/>
      <c r="AK1" s="1420"/>
      <c r="AL1" s="1420"/>
      <c r="AM1" s="1420"/>
      <c r="AN1" s="1420"/>
      <c r="AO1" s="1420"/>
      <c r="AP1" s="1420"/>
      <c r="AQ1" s="1451" t="s">
        <v>735</v>
      </c>
      <c r="AR1" s="1452"/>
      <c r="AS1" s="1420" t="s">
        <v>734</v>
      </c>
      <c r="AT1" s="1420"/>
      <c r="AU1" s="1420"/>
      <c r="AV1" s="1420"/>
      <c r="AW1" s="1420"/>
      <c r="AX1" s="1420"/>
      <c r="AY1" s="1420"/>
      <c r="AZ1" s="1420"/>
      <c r="BA1" s="1420"/>
      <c r="BB1" s="1420"/>
      <c r="BC1" s="1420"/>
      <c r="BD1" s="1420"/>
      <c r="BE1" s="1451" t="s">
        <v>735</v>
      </c>
      <c r="BF1" s="1452"/>
      <c r="BG1" s="1420" t="s">
        <v>468</v>
      </c>
      <c r="BH1" s="1421"/>
      <c r="BI1" s="1421"/>
      <c r="BJ1" s="1421"/>
      <c r="BK1" s="1421"/>
      <c r="BL1" s="695" t="s">
        <v>467</v>
      </c>
    </row>
    <row r="2" spans="1:64" ht="80.25" customHeight="1">
      <c r="A2" s="1510" t="s">
        <v>26</v>
      </c>
      <c r="B2" s="1511"/>
      <c r="C2" s="1483" t="s">
        <v>483</v>
      </c>
      <c r="D2" s="1486"/>
      <c r="E2" s="1486"/>
      <c r="F2" s="1487"/>
      <c r="G2" s="1483" t="s">
        <v>100</v>
      </c>
      <c r="H2" s="1486"/>
      <c r="I2" s="1486"/>
      <c r="J2" s="1487"/>
      <c r="K2" s="1462" t="s">
        <v>227</v>
      </c>
      <c r="L2" s="1463"/>
      <c r="M2" s="1463"/>
      <c r="N2" s="1464"/>
      <c r="O2" s="1492" t="s">
        <v>26</v>
      </c>
      <c r="P2" s="1493"/>
      <c r="Q2" s="1483" t="s">
        <v>101</v>
      </c>
      <c r="R2" s="1486"/>
      <c r="S2" s="1486"/>
      <c r="T2" s="1487"/>
      <c r="U2" s="1483" t="s">
        <v>102</v>
      </c>
      <c r="V2" s="1486"/>
      <c r="W2" s="1486"/>
      <c r="X2" s="1487"/>
      <c r="Y2" s="1483" t="s">
        <v>462</v>
      </c>
      <c r="Z2" s="1486"/>
      <c r="AA2" s="1486"/>
      <c r="AB2" s="1487"/>
      <c r="AC2" s="752"/>
      <c r="AD2" s="752"/>
      <c r="AE2" s="1479" t="s">
        <v>26</v>
      </c>
      <c r="AF2" s="1480"/>
      <c r="AG2" s="1483" t="s">
        <v>183</v>
      </c>
      <c r="AH2" s="1486"/>
      <c r="AI2" s="1486"/>
      <c r="AJ2" s="1487"/>
      <c r="AK2" s="1483" t="s">
        <v>463</v>
      </c>
      <c r="AL2" s="1484"/>
      <c r="AM2" s="1484"/>
      <c r="AN2" s="1485"/>
      <c r="AO2" s="1483" t="s">
        <v>464</v>
      </c>
      <c r="AP2" s="1484"/>
      <c r="AQ2" s="1484"/>
      <c r="AR2" s="1485"/>
      <c r="AS2" s="1479" t="s">
        <v>26</v>
      </c>
      <c r="AT2" s="1480"/>
      <c r="AU2" s="1483" t="s">
        <v>103</v>
      </c>
      <c r="AV2" s="1484"/>
      <c r="AW2" s="1484"/>
      <c r="AX2" s="1485"/>
      <c r="AY2" s="1462" t="s">
        <v>465</v>
      </c>
      <c r="AZ2" s="1463"/>
      <c r="BA2" s="1463"/>
      <c r="BB2" s="1464"/>
      <c r="BC2" s="1465" t="s">
        <v>466</v>
      </c>
      <c r="BD2" s="1466"/>
      <c r="BE2" s="1466"/>
      <c r="BF2" s="1467"/>
      <c r="BG2" s="1422" t="s">
        <v>26</v>
      </c>
      <c r="BH2" s="1423"/>
      <c r="BI2" s="1426" t="s">
        <v>48</v>
      </c>
      <c r="BJ2" s="1427"/>
      <c r="BK2" s="1427"/>
      <c r="BL2" s="1427"/>
    </row>
    <row r="3" spans="1:64" ht="30.75" customHeight="1">
      <c r="A3" s="1512"/>
      <c r="B3" s="1511"/>
      <c r="C3" s="681" t="s">
        <v>27</v>
      </c>
      <c r="D3" s="682" t="s">
        <v>28</v>
      </c>
      <c r="E3" s="682" t="s">
        <v>29</v>
      </c>
      <c r="F3" s="683" t="s">
        <v>30</v>
      </c>
      <c r="G3" s="681" t="s">
        <v>27</v>
      </c>
      <c r="H3" s="682" t="s">
        <v>28</v>
      </c>
      <c r="I3" s="682" t="s">
        <v>29</v>
      </c>
      <c r="J3" s="683" t="s">
        <v>30</v>
      </c>
      <c r="K3" s="681" t="s">
        <v>27</v>
      </c>
      <c r="L3" s="682" t="s">
        <v>28</v>
      </c>
      <c r="M3" s="682" t="s">
        <v>29</v>
      </c>
      <c r="N3" s="683" t="s">
        <v>30</v>
      </c>
      <c r="O3" s="1494"/>
      <c r="P3" s="1495"/>
      <c r="Q3" s="681" t="s">
        <v>27</v>
      </c>
      <c r="R3" s="682" t="s">
        <v>28</v>
      </c>
      <c r="S3" s="682" t="s">
        <v>29</v>
      </c>
      <c r="T3" s="683" t="s">
        <v>31</v>
      </c>
      <c r="U3" s="681" t="s">
        <v>27</v>
      </c>
      <c r="V3" s="682" t="s">
        <v>28</v>
      </c>
      <c r="W3" s="682" t="s">
        <v>29</v>
      </c>
      <c r="X3" s="683" t="s">
        <v>31</v>
      </c>
      <c r="Y3" s="681" t="s">
        <v>27</v>
      </c>
      <c r="Z3" s="682" t="s">
        <v>28</v>
      </c>
      <c r="AA3" s="682" t="s">
        <v>29</v>
      </c>
      <c r="AB3" s="683" t="s">
        <v>31</v>
      </c>
      <c r="AC3" s="1120"/>
      <c r="AD3" s="1120"/>
      <c r="AE3" s="1481"/>
      <c r="AF3" s="1482"/>
      <c r="AG3" s="681" t="s">
        <v>27</v>
      </c>
      <c r="AH3" s="682" t="s">
        <v>28</v>
      </c>
      <c r="AI3" s="682" t="s">
        <v>29</v>
      </c>
      <c r="AJ3" s="683" t="s">
        <v>31</v>
      </c>
      <c r="AK3" s="681" t="s">
        <v>27</v>
      </c>
      <c r="AL3" s="682" t="s">
        <v>28</v>
      </c>
      <c r="AM3" s="682" t="s">
        <v>29</v>
      </c>
      <c r="AN3" s="683" t="s">
        <v>30</v>
      </c>
      <c r="AO3" s="681" t="s">
        <v>27</v>
      </c>
      <c r="AP3" s="682" t="s">
        <v>28</v>
      </c>
      <c r="AQ3" s="682" t="s">
        <v>29</v>
      </c>
      <c r="AR3" s="683" t="s">
        <v>30</v>
      </c>
      <c r="AS3" s="1481"/>
      <c r="AT3" s="1482"/>
      <c r="AU3" s="681" t="s">
        <v>27</v>
      </c>
      <c r="AV3" s="682" t="s">
        <v>28</v>
      </c>
      <c r="AW3" s="682" t="s">
        <v>29</v>
      </c>
      <c r="AX3" s="683" t="s">
        <v>31</v>
      </c>
      <c r="AY3" s="681" t="s">
        <v>27</v>
      </c>
      <c r="AZ3" s="682" t="s">
        <v>28</v>
      </c>
      <c r="BA3" s="682" t="s">
        <v>29</v>
      </c>
      <c r="BB3" s="683" t="s">
        <v>31</v>
      </c>
      <c r="BC3" s="681" t="s">
        <v>27</v>
      </c>
      <c r="BD3" s="682" t="s">
        <v>28</v>
      </c>
      <c r="BE3" s="682" t="s">
        <v>29</v>
      </c>
      <c r="BF3" s="683" t="s">
        <v>31</v>
      </c>
      <c r="BG3" s="1424"/>
      <c r="BH3" s="1425"/>
      <c r="BI3" s="694" t="s">
        <v>27</v>
      </c>
      <c r="BJ3" s="692" t="s">
        <v>28</v>
      </c>
      <c r="BK3" s="692" t="s">
        <v>29</v>
      </c>
      <c r="BL3" s="693" t="s">
        <v>31</v>
      </c>
    </row>
    <row r="4" spans="1:64" ht="27" customHeight="1">
      <c r="A4" s="1442" t="s">
        <v>40</v>
      </c>
      <c r="B4" s="53" t="s">
        <v>32</v>
      </c>
      <c r="C4" s="1496"/>
      <c r="D4" s="1497"/>
      <c r="E4" s="97">
        <v>1</v>
      </c>
      <c r="F4" s="1501"/>
      <c r="G4" s="1496"/>
      <c r="H4" s="1507"/>
      <c r="I4" s="61">
        <v>12</v>
      </c>
      <c r="J4" s="1501"/>
      <c r="K4" s="1496"/>
      <c r="L4" s="1507"/>
      <c r="M4" s="61">
        <v>0</v>
      </c>
      <c r="N4" s="1501"/>
      <c r="O4" s="1506" t="s">
        <v>40</v>
      </c>
      <c r="P4" s="53" t="s">
        <v>32</v>
      </c>
      <c r="Q4" s="1456"/>
      <c r="R4" s="1488"/>
      <c r="S4" s="61">
        <v>21</v>
      </c>
      <c r="T4" s="1453"/>
      <c r="U4" s="1456"/>
      <c r="V4" s="1488"/>
      <c r="W4" s="44">
        <v>10</v>
      </c>
      <c r="X4" s="1453"/>
      <c r="Y4" s="1428"/>
      <c r="Z4" s="1468"/>
      <c r="AA4" s="50">
        <v>0</v>
      </c>
      <c r="AB4" s="1473"/>
      <c r="AC4" s="13"/>
      <c r="AD4" s="13"/>
      <c r="AE4" s="1437" t="s">
        <v>40</v>
      </c>
      <c r="AF4" s="53" t="s">
        <v>32</v>
      </c>
      <c r="AG4" s="1428"/>
      <c r="AH4" s="1468"/>
      <c r="AI4" s="50">
        <v>2</v>
      </c>
      <c r="AJ4" s="1473"/>
      <c r="AK4" s="1456"/>
      <c r="AL4" s="1457"/>
      <c r="AM4" s="43">
        <v>1</v>
      </c>
      <c r="AN4" s="1453"/>
      <c r="AO4" s="355"/>
      <c r="AP4" s="356"/>
      <c r="AQ4" s="43">
        <v>1</v>
      </c>
      <c r="AR4" s="352"/>
      <c r="AS4" s="1437" t="s">
        <v>40</v>
      </c>
      <c r="AT4" s="53" t="s">
        <v>32</v>
      </c>
      <c r="AU4" s="1456"/>
      <c r="AV4" s="1457"/>
      <c r="AW4" s="50">
        <v>12</v>
      </c>
      <c r="AX4" s="1453"/>
      <c r="AY4" s="1456"/>
      <c r="AZ4" s="1457"/>
      <c r="BA4" s="85">
        <v>1</v>
      </c>
      <c r="BB4" s="1476"/>
      <c r="BC4" s="355"/>
      <c r="BD4" s="362"/>
      <c r="BE4" s="363">
        <v>1</v>
      </c>
      <c r="BF4" s="364"/>
      <c r="BG4" s="1437" t="s">
        <v>40</v>
      </c>
      <c r="BH4" s="53" t="s">
        <v>32</v>
      </c>
      <c r="BI4" s="1428"/>
      <c r="BJ4" s="1429"/>
      <c r="BK4" s="63">
        <f>BE4+BA4+AW4+AQ4+AM4+AI4+AA4+W4+S4+M4+I4+E4</f>
        <v>62</v>
      </c>
      <c r="BL4" s="1434"/>
    </row>
    <row r="5" spans="1:64" ht="27" customHeight="1">
      <c r="A5" s="1442"/>
      <c r="B5" s="58" t="s">
        <v>33</v>
      </c>
      <c r="C5" s="1489"/>
      <c r="D5" s="1498"/>
      <c r="E5" s="98">
        <v>0</v>
      </c>
      <c r="F5" s="1502"/>
      <c r="G5" s="1489"/>
      <c r="H5" s="1508"/>
      <c r="I5" s="62">
        <v>0</v>
      </c>
      <c r="J5" s="1502"/>
      <c r="K5" s="1489"/>
      <c r="L5" s="1508"/>
      <c r="M5" s="62">
        <v>0</v>
      </c>
      <c r="N5" s="1502"/>
      <c r="O5" s="1445"/>
      <c r="P5" s="54" t="s">
        <v>33</v>
      </c>
      <c r="Q5" s="1489"/>
      <c r="R5" s="1490"/>
      <c r="S5" s="62">
        <v>0</v>
      </c>
      <c r="T5" s="1502"/>
      <c r="U5" s="1489"/>
      <c r="V5" s="1490"/>
      <c r="W5" s="44">
        <v>0</v>
      </c>
      <c r="X5" s="1502"/>
      <c r="Y5" s="1469"/>
      <c r="Z5" s="1470"/>
      <c r="AA5" s="51">
        <v>0</v>
      </c>
      <c r="AB5" s="1474"/>
      <c r="AC5" s="14"/>
      <c r="AD5" s="14"/>
      <c r="AE5" s="1438"/>
      <c r="AF5" s="58" t="s">
        <v>33</v>
      </c>
      <c r="AG5" s="1469"/>
      <c r="AH5" s="1470"/>
      <c r="AI5" s="51">
        <v>0</v>
      </c>
      <c r="AJ5" s="1474"/>
      <c r="AK5" s="1458"/>
      <c r="AL5" s="1459"/>
      <c r="AM5" s="45">
        <v>0</v>
      </c>
      <c r="AN5" s="1454"/>
      <c r="AO5" s="357"/>
      <c r="AP5" s="358"/>
      <c r="AQ5" s="45">
        <v>0</v>
      </c>
      <c r="AR5" s="353"/>
      <c r="AS5" s="1438"/>
      <c r="AT5" s="58" t="s">
        <v>33</v>
      </c>
      <c r="AU5" s="1458"/>
      <c r="AV5" s="1459"/>
      <c r="AW5" s="51">
        <v>0</v>
      </c>
      <c r="AX5" s="1454"/>
      <c r="AY5" s="1458"/>
      <c r="AZ5" s="1459"/>
      <c r="BA5" s="86">
        <v>0</v>
      </c>
      <c r="BB5" s="1477"/>
      <c r="BC5" s="357"/>
      <c r="BD5" s="361"/>
      <c r="BE5" s="365">
        <v>0</v>
      </c>
      <c r="BF5" s="353"/>
      <c r="BG5" s="1438"/>
      <c r="BH5" s="58" t="s">
        <v>33</v>
      </c>
      <c r="BI5" s="1430"/>
      <c r="BJ5" s="1431"/>
      <c r="BK5" s="64">
        <f aca="true" t="shared" si="0" ref="BK5:BK10">BE5+BA5+AW5+AQ5+AM5+AI5+AA5+W5+S5+M5+I5+E5</f>
        <v>0</v>
      </c>
      <c r="BL5" s="1435"/>
    </row>
    <row r="6" spans="1:64" ht="27" customHeight="1">
      <c r="A6" s="1442"/>
      <c r="B6" s="58" t="s">
        <v>34</v>
      </c>
      <c r="C6" s="1489"/>
      <c r="D6" s="1498"/>
      <c r="E6" s="99">
        <v>5</v>
      </c>
      <c r="F6" s="1502"/>
      <c r="G6" s="1489"/>
      <c r="H6" s="1508"/>
      <c r="I6" s="62">
        <v>73</v>
      </c>
      <c r="J6" s="1502"/>
      <c r="K6" s="1489"/>
      <c r="L6" s="1508"/>
      <c r="M6" s="62">
        <v>232</v>
      </c>
      <c r="N6" s="1502"/>
      <c r="O6" s="1445"/>
      <c r="P6" s="54" t="s">
        <v>34</v>
      </c>
      <c r="Q6" s="1489"/>
      <c r="R6" s="1490"/>
      <c r="S6" s="62">
        <v>295</v>
      </c>
      <c r="T6" s="1502"/>
      <c r="U6" s="1489"/>
      <c r="V6" s="1490"/>
      <c r="W6" s="44">
        <v>220</v>
      </c>
      <c r="X6" s="1502"/>
      <c r="Y6" s="1469"/>
      <c r="Z6" s="1470"/>
      <c r="AA6" s="45">
        <v>0</v>
      </c>
      <c r="AB6" s="1474"/>
      <c r="AC6" s="14"/>
      <c r="AD6" s="14"/>
      <c r="AE6" s="1438"/>
      <c r="AF6" s="58" t="s">
        <v>34</v>
      </c>
      <c r="AG6" s="1469"/>
      <c r="AH6" s="1470"/>
      <c r="AI6" s="45">
        <v>1</v>
      </c>
      <c r="AJ6" s="1474"/>
      <c r="AK6" s="1458"/>
      <c r="AL6" s="1459"/>
      <c r="AM6" s="45">
        <v>1</v>
      </c>
      <c r="AN6" s="1454"/>
      <c r="AO6" s="357"/>
      <c r="AP6" s="358"/>
      <c r="AQ6" s="45">
        <v>0</v>
      </c>
      <c r="AR6" s="353"/>
      <c r="AS6" s="1438"/>
      <c r="AT6" s="58" t="s">
        <v>34</v>
      </c>
      <c r="AU6" s="1458"/>
      <c r="AV6" s="1459"/>
      <c r="AW6" s="51">
        <v>3</v>
      </c>
      <c r="AX6" s="1454"/>
      <c r="AY6" s="1458"/>
      <c r="AZ6" s="1459"/>
      <c r="BA6" s="86">
        <v>0</v>
      </c>
      <c r="BB6" s="1477"/>
      <c r="BC6" s="357"/>
      <c r="BD6" s="361"/>
      <c r="BE6" s="365">
        <v>0</v>
      </c>
      <c r="BF6" s="353"/>
      <c r="BG6" s="1438"/>
      <c r="BH6" s="58" t="s">
        <v>34</v>
      </c>
      <c r="BI6" s="1430"/>
      <c r="BJ6" s="1431"/>
      <c r="BK6" s="64">
        <f t="shared" si="0"/>
        <v>830</v>
      </c>
      <c r="BL6" s="1435"/>
    </row>
    <row r="7" spans="1:64" ht="27" customHeight="1">
      <c r="A7" s="1442"/>
      <c r="B7" s="58" t="s">
        <v>33</v>
      </c>
      <c r="C7" s="1489"/>
      <c r="D7" s="1498"/>
      <c r="E7" s="98">
        <v>0</v>
      </c>
      <c r="F7" s="1502"/>
      <c r="G7" s="1489"/>
      <c r="H7" s="1508"/>
      <c r="I7" s="62">
        <v>0</v>
      </c>
      <c r="J7" s="1502"/>
      <c r="K7" s="1489"/>
      <c r="L7" s="1508"/>
      <c r="M7" s="62">
        <v>0</v>
      </c>
      <c r="N7" s="1502"/>
      <c r="O7" s="1445"/>
      <c r="P7" s="54" t="s">
        <v>33</v>
      </c>
      <c r="Q7" s="1489"/>
      <c r="R7" s="1490"/>
      <c r="S7" s="62">
        <v>0</v>
      </c>
      <c r="T7" s="1502"/>
      <c r="U7" s="1489"/>
      <c r="V7" s="1490"/>
      <c r="W7" s="44">
        <v>0</v>
      </c>
      <c r="X7" s="1502"/>
      <c r="Y7" s="1469"/>
      <c r="Z7" s="1470"/>
      <c r="AA7" s="51">
        <v>0</v>
      </c>
      <c r="AB7" s="1474"/>
      <c r="AC7" s="14"/>
      <c r="AD7" s="14"/>
      <c r="AE7" s="1438"/>
      <c r="AF7" s="58" t="s">
        <v>33</v>
      </c>
      <c r="AG7" s="1469"/>
      <c r="AH7" s="1470"/>
      <c r="AI7" s="51">
        <v>0</v>
      </c>
      <c r="AJ7" s="1474"/>
      <c r="AK7" s="1458"/>
      <c r="AL7" s="1459"/>
      <c r="AM7" s="45">
        <v>0</v>
      </c>
      <c r="AN7" s="1454"/>
      <c r="AO7" s="357"/>
      <c r="AP7" s="358"/>
      <c r="AQ7" s="45">
        <v>0</v>
      </c>
      <c r="AR7" s="353"/>
      <c r="AS7" s="1438"/>
      <c r="AT7" s="58" t="s">
        <v>33</v>
      </c>
      <c r="AU7" s="1458"/>
      <c r="AV7" s="1459"/>
      <c r="AW7" s="51">
        <v>0</v>
      </c>
      <c r="AX7" s="1454"/>
      <c r="AY7" s="1458"/>
      <c r="AZ7" s="1459"/>
      <c r="BA7" s="86">
        <v>0</v>
      </c>
      <c r="BB7" s="1477"/>
      <c r="BC7" s="357"/>
      <c r="BD7" s="361"/>
      <c r="BE7" s="365">
        <v>0</v>
      </c>
      <c r="BF7" s="353"/>
      <c r="BG7" s="1438"/>
      <c r="BH7" s="58" t="s">
        <v>33</v>
      </c>
      <c r="BI7" s="1430"/>
      <c r="BJ7" s="1431"/>
      <c r="BK7" s="64">
        <f t="shared" si="0"/>
        <v>0</v>
      </c>
      <c r="BL7" s="1435"/>
    </row>
    <row r="8" spans="1:64" ht="27" customHeight="1">
      <c r="A8" s="1442"/>
      <c r="B8" s="58" t="s">
        <v>35</v>
      </c>
      <c r="C8" s="1489"/>
      <c r="D8" s="1498"/>
      <c r="E8" s="98">
        <v>1</v>
      </c>
      <c r="F8" s="1502"/>
      <c r="G8" s="1489"/>
      <c r="H8" s="1508"/>
      <c r="I8" s="62">
        <v>73</v>
      </c>
      <c r="J8" s="1502"/>
      <c r="K8" s="1489"/>
      <c r="L8" s="1508"/>
      <c r="M8" s="62">
        <v>187</v>
      </c>
      <c r="N8" s="1502"/>
      <c r="O8" s="1445"/>
      <c r="P8" s="54" t="s">
        <v>35</v>
      </c>
      <c r="Q8" s="1489"/>
      <c r="R8" s="1490"/>
      <c r="S8" s="62">
        <v>67</v>
      </c>
      <c r="T8" s="1502"/>
      <c r="U8" s="1489"/>
      <c r="V8" s="1490"/>
      <c r="W8" s="44">
        <v>15</v>
      </c>
      <c r="X8" s="1502"/>
      <c r="Y8" s="1469"/>
      <c r="Z8" s="1470"/>
      <c r="AA8" s="51">
        <v>1</v>
      </c>
      <c r="AB8" s="1474"/>
      <c r="AC8" s="14"/>
      <c r="AD8" s="14"/>
      <c r="AE8" s="1438"/>
      <c r="AF8" s="58" t="s">
        <v>35</v>
      </c>
      <c r="AG8" s="1469"/>
      <c r="AH8" s="1470"/>
      <c r="AI8" s="51">
        <v>0</v>
      </c>
      <c r="AJ8" s="1474"/>
      <c r="AK8" s="1458"/>
      <c r="AL8" s="1459"/>
      <c r="AM8" s="45">
        <v>61</v>
      </c>
      <c r="AN8" s="1454"/>
      <c r="AO8" s="357"/>
      <c r="AP8" s="358"/>
      <c r="AQ8" s="45">
        <v>11</v>
      </c>
      <c r="AR8" s="353"/>
      <c r="AS8" s="1438"/>
      <c r="AT8" s="58" t="s">
        <v>35</v>
      </c>
      <c r="AU8" s="1458"/>
      <c r="AV8" s="1459"/>
      <c r="AW8" s="51">
        <v>18</v>
      </c>
      <c r="AX8" s="1454"/>
      <c r="AY8" s="1458"/>
      <c r="AZ8" s="1459"/>
      <c r="BA8" s="86">
        <v>0</v>
      </c>
      <c r="BB8" s="1477"/>
      <c r="BC8" s="357"/>
      <c r="BD8" s="361"/>
      <c r="BE8" s="365">
        <v>0</v>
      </c>
      <c r="BF8" s="353"/>
      <c r="BG8" s="1438"/>
      <c r="BH8" s="58" t="s">
        <v>35</v>
      </c>
      <c r="BI8" s="1430"/>
      <c r="BJ8" s="1431"/>
      <c r="BK8" s="64">
        <f t="shared" si="0"/>
        <v>434</v>
      </c>
      <c r="BL8" s="1435"/>
    </row>
    <row r="9" spans="1:64" ht="27" customHeight="1">
      <c r="A9" s="1442"/>
      <c r="B9" s="58" t="s">
        <v>33</v>
      </c>
      <c r="C9" s="1489"/>
      <c r="D9" s="1498"/>
      <c r="E9" s="98">
        <v>0</v>
      </c>
      <c r="F9" s="1502"/>
      <c r="G9" s="1489"/>
      <c r="H9" s="1508"/>
      <c r="I9" s="62">
        <v>0</v>
      </c>
      <c r="J9" s="1502"/>
      <c r="K9" s="1489"/>
      <c r="L9" s="1508"/>
      <c r="M9" s="62">
        <v>0</v>
      </c>
      <c r="N9" s="1502"/>
      <c r="O9" s="1445"/>
      <c r="P9" s="54" t="s">
        <v>33</v>
      </c>
      <c r="Q9" s="1489"/>
      <c r="R9" s="1490"/>
      <c r="S9" s="62">
        <v>0</v>
      </c>
      <c r="T9" s="1502"/>
      <c r="U9" s="1489"/>
      <c r="V9" s="1490"/>
      <c r="W9" s="44">
        <v>0</v>
      </c>
      <c r="X9" s="1502"/>
      <c r="Y9" s="1469"/>
      <c r="Z9" s="1470"/>
      <c r="AA9" s="51">
        <v>0</v>
      </c>
      <c r="AB9" s="1474"/>
      <c r="AC9" s="14"/>
      <c r="AD9" s="14"/>
      <c r="AE9" s="1438"/>
      <c r="AF9" s="58" t="s">
        <v>33</v>
      </c>
      <c r="AG9" s="1469"/>
      <c r="AH9" s="1470"/>
      <c r="AI9" s="51">
        <v>0</v>
      </c>
      <c r="AJ9" s="1474"/>
      <c r="AK9" s="1458"/>
      <c r="AL9" s="1459"/>
      <c r="AM9" s="45">
        <v>0</v>
      </c>
      <c r="AN9" s="1454"/>
      <c r="AO9" s="357"/>
      <c r="AP9" s="358"/>
      <c r="AQ9" s="45">
        <v>0</v>
      </c>
      <c r="AR9" s="353"/>
      <c r="AS9" s="1438"/>
      <c r="AT9" s="58" t="s">
        <v>33</v>
      </c>
      <c r="AU9" s="1458"/>
      <c r="AV9" s="1459"/>
      <c r="AW9" s="51">
        <v>0</v>
      </c>
      <c r="AX9" s="1454"/>
      <c r="AY9" s="1458"/>
      <c r="AZ9" s="1459"/>
      <c r="BA9" s="86">
        <v>0</v>
      </c>
      <c r="BB9" s="1477"/>
      <c r="BC9" s="357"/>
      <c r="BD9" s="361"/>
      <c r="BE9" s="365">
        <v>0</v>
      </c>
      <c r="BF9" s="353"/>
      <c r="BG9" s="1438"/>
      <c r="BH9" s="58" t="s">
        <v>33</v>
      </c>
      <c r="BI9" s="1430"/>
      <c r="BJ9" s="1431"/>
      <c r="BK9" s="64">
        <f t="shared" si="0"/>
        <v>0</v>
      </c>
      <c r="BL9" s="1435"/>
    </row>
    <row r="10" spans="1:64" ht="27" customHeight="1">
      <c r="A10" s="1442"/>
      <c r="B10" s="59" t="s">
        <v>36</v>
      </c>
      <c r="C10" s="1499"/>
      <c r="D10" s="1500"/>
      <c r="E10" s="100">
        <v>0</v>
      </c>
      <c r="F10" s="1503"/>
      <c r="G10" s="1499"/>
      <c r="H10" s="1509"/>
      <c r="I10" s="62">
        <v>3</v>
      </c>
      <c r="J10" s="1503"/>
      <c r="K10" s="1499"/>
      <c r="L10" s="1509"/>
      <c r="M10" s="62">
        <v>0</v>
      </c>
      <c r="N10" s="1503"/>
      <c r="O10" s="1446"/>
      <c r="P10" s="55" t="s">
        <v>36</v>
      </c>
      <c r="Q10" s="1499"/>
      <c r="R10" s="1491"/>
      <c r="S10" s="62">
        <v>1</v>
      </c>
      <c r="T10" s="1503"/>
      <c r="U10" s="1489"/>
      <c r="V10" s="1491"/>
      <c r="W10" s="44">
        <v>0</v>
      </c>
      <c r="X10" s="1503"/>
      <c r="Y10" s="1471"/>
      <c r="Z10" s="1472"/>
      <c r="AA10" s="52">
        <v>0</v>
      </c>
      <c r="AB10" s="1475"/>
      <c r="AC10" s="15"/>
      <c r="AD10" s="15"/>
      <c r="AE10" s="1439"/>
      <c r="AF10" s="59" t="s">
        <v>36</v>
      </c>
      <c r="AG10" s="1471"/>
      <c r="AH10" s="1472"/>
      <c r="AI10" s="52">
        <v>0</v>
      </c>
      <c r="AJ10" s="1475"/>
      <c r="AK10" s="1460"/>
      <c r="AL10" s="1461"/>
      <c r="AM10" s="47">
        <v>1</v>
      </c>
      <c r="AN10" s="1455"/>
      <c r="AO10" s="359"/>
      <c r="AP10" s="360"/>
      <c r="AQ10" s="47">
        <v>0</v>
      </c>
      <c r="AR10" s="354"/>
      <c r="AS10" s="1439"/>
      <c r="AT10" s="59" t="s">
        <v>36</v>
      </c>
      <c r="AU10" s="1460"/>
      <c r="AV10" s="1461"/>
      <c r="AW10" s="52">
        <v>6</v>
      </c>
      <c r="AX10" s="1455"/>
      <c r="AY10" s="1460"/>
      <c r="AZ10" s="1461"/>
      <c r="BA10" s="87">
        <v>0</v>
      </c>
      <c r="BB10" s="1478"/>
      <c r="BC10" s="359"/>
      <c r="BD10" s="366"/>
      <c r="BE10" s="367">
        <v>0</v>
      </c>
      <c r="BF10" s="368"/>
      <c r="BG10" s="1439"/>
      <c r="BH10" s="59" t="s">
        <v>36</v>
      </c>
      <c r="BI10" s="1432"/>
      <c r="BJ10" s="1433"/>
      <c r="BK10" s="64">
        <f t="shared" si="0"/>
        <v>11</v>
      </c>
      <c r="BL10" s="1436"/>
    </row>
    <row r="11" spans="1:64" ht="27" customHeight="1">
      <c r="A11" s="1437" t="s">
        <v>38</v>
      </c>
      <c r="B11" s="53" t="s">
        <v>49</v>
      </c>
      <c r="C11" s="129">
        <v>7000</v>
      </c>
      <c r="D11" s="130">
        <v>1224.5</v>
      </c>
      <c r="E11" s="131">
        <v>0</v>
      </c>
      <c r="F11" s="96">
        <f>E11/C11</f>
        <v>0</v>
      </c>
      <c r="G11" s="129">
        <v>4300</v>
      </c>
      <c r="H11" s="132">
        <v>5470</v>
      </c>
      <c r="I11" s="131">
        <v>1764</v>
      </c>
      <c r="J11" s="96">
        <f>I11/H11</f>
        <v>0.32248628884826325</v>
      </c>
      <c r="K11" s="133">
        <v>1000</v>
      </c>
      <c r="L11" s="134">
        <v>1250</v>
      </c>
      <c r="M11" s="131">
        <v>597</v>
      </c>
      <c r="N11" s="96">
        <f>M11/L11</f>
        <v>0.4776</v>
      </c>
      <c r="O11" s="1438" t="s">
        <v>38</v>
      </c>
      <c r="P11" s="56" t="s">
        <v>49</v>
      </c>
      <c r="Q11" s="112">
        <v>22850</v>
      </c>
      <c r="R11" s="135">
        <v>31380</v>
      </c>
      <c r="S11" s="61">
        <v>15100</v>
      </c>
      <c r="T11" s="136">
        <f>S11/R11</f>
        <v>0.48119821542383684</v>
      </c>
      <c r="U11" s="129">
        <v>4750</v>
      </c>
      <c r="V11" s="130">
        <v>10590</v>
      </c>
      <c r="W11" s="137">
        <v>2684</v>
      </c>
      <c r="X11" s="136">
        <f>W11/V11</f>
        <v>0.2534466477809254</v>
      </c>
      <c r="Y11" s="133">
        <v>0</v>
      </c>
      <c r="Z11" s="134">
        <v>0</v>
      </c>
      <c r="AA11" s="93">
        <v>0</v>
      </c>
      <c r="AB11" s="138">
        <v>0</v>
      </c>
      <c r="AC11" s="16"/>
      <c r="AD11" s="16"/>
      <c r="AE11" s="1437" t="s">
        <v>38</v>
      </c>
      <c r="AF11" s="53" t="s">
        <v>49</v>
      </c>
      <c r="AG11" s="133">
        <v>0</v>
      </c>
      <c r="AH11" s="134">
        <v>0</v>
      </c>
      <c r="AI11" s="93">
        <v>0</v>
      </c>
      <c r="AJ11" s="138">
        <v>0</v>
      </c>
      <c r="AK11" s="112">
        <v>500</v>
      </c>
      <c r="AL11" s="139">
        <v>2100</v>
      </c>
      <c r="AM11" s="131">
        <v>676</v>
      </c>
      <c r="AN11" s="136">
        <f>AM11/AK11</f>
        <v>1.352</v>
      </c>
      <c r="AO11" s="129">
        <v>3000</v>
      </c>
      <c r="AP11" s="132">
        <v>3000</v>
      </c>
      <c r="AQ11" s="131">
        <v>0</v>
      </c>
      <c r="AR11" s="138">
        <f>AQ11/AO11</f>
        <v>0</v>
      </c>
      <c r="AS11" s="1437" t="s">
        <v>38</v>
      </c>
      <c r="AT11" s="111" t="s">
        <v>49</v>
      </c>
      <c r="AU11" s="129">
        <v>13400</v>
      </c>
      <c r="AV11" s="132">
        <v>15264</v>
      </c>
      <c r="AW11" s="131">
        <v>10663</v>
      </c>
      <c r="AX11" s="138">
        <f>AW11/AV11</f>
        <v>0.6985718029350105</v>
      </c>
      <c r="AY11" s="112">
        <v>1151</v>
      </c>
      <c r="AZ11" s="89">
        <v>1151</v>
      </c>
      <c r="BA11" s="61">
        <v>0</v>
      </c>
      <c r="BB11" s="136">
        <f>BA11/AY11</f>
        <v>0</v>
      </c>
      <c r="BC11" s="129">
        <v>1700</v>
      </c>
      <c r="BD11" s="130">
        <v>3975.5</v>
      </c>
      <c r="BE11" s="131">
        <v>2731</v>
      </c>
      <c r="BF11" s="138">
        <f>BE11/BC11</f>
        <v>1.606470588235294</v>
      </c>
      <c r="BG11" s="1437" t="s">
        <v>38</v>
      </c>
      <c r="BH11" s="111" t="s">
        <v>49</v>
      </c>
      <c r="BI11" s="129">
        <f>BC11+AY11+AU11+AO11+AK11+AG11+Z11+U11+Q11+K11+G11+C11</f>
        <v>59651</v>
      </c>
      <c r="BJ11" s="130">
        <f>BD11+AZ11+AV11+AP11+AL11+AH11+Z11+V11+R11+L11+H11+D11</f>
        <v>75405</v>
      </c>
      <c r="BK11" s="255">
        <f>BE11+BA11+AW11+AQ11+AM11+AI11+AA11+W11+S11+M11+I11+E11</f>
        <v>34215</v>
      </c>
      <c r="BL11" s="140">
        <f>BK11/BJ11</f>
        <v>0.45374975134274914</v>
      </c>
    </row>
    <row r="12" spans="1:64" ht="27" customHeight="1">
      <c r="A12" s="1504"/>
      <c r="B12" s="58" t="s">
        <v>50</v>
      </c>
      <c r="C12" s="114">
        <v>500</v>
      </c>
      <c r="D12" s="141">
        <v>500</v>
      </c>
      <c r="E12" s="142">
        <v>338</v>
      </c>
      <c r="F12" s="143">
        <f>E12/D12</f>
        <v>0.676</v>
      </c>
      <c r="G12" s="114">
        <v>1200</v>
      </c>
      <c r="H12" s="141">
        <v>1200</v>
      </c>
      <c r="I12" s="142">
        <v>852</v>
      </c>
      <c r="J12" s="143">
        <f>I12/H12</f>
        <v>0.71</v>
      </c>
      <c r="K12" s="144">
        <v>15000</v>
      </c>
      <c r="L12" s="145">
        <v>15000</v>
      </c>
      <c r="M12" s="142">
        <v>1245</v>
      </c>
      <c r="N12" s="143">
        <f>M12/L12</f>
        <v>0.083</v>
      </c>
      <c r="O12" s="1438"/>
      <c r="P12" s="57" t="s">
        <v>50</v>
      </c>
      <c r="Q12" s="114">
        <v>2800</v>
      </c>
      <c r="R12" s="141">
        <v>2800</v>
      </c>
      <c r="S12" s="62">
        <v>2304</v>
      </c>
      <c r="T12" s="95">
        <f>S12/R12</f>
        <v>0.8228571428571428</v>
      </c>
      <c r="U12" s="146">
        <v>2000</v>
      </c>
      <c r="V12" s="154">
        <v>2000</v>
      </c>
      <c r="W12" s="147">
        <v>1723</v>
      </c>
      <c r="X12" s="95">
        <f>W12/V12</f>
        <v>0.8615</v>
      </c>
      <c r="Y12" s="148">
        <v>0</v>
      </c>
      <c r="Z12" s="149">
        <v>400</v>
      </c>
      <c r="AA12" s="45">
        <v>93</v>
      </c>
      <c r="AB12" s="46">
        <f>AA12/Z12</f>
        <v>0.2325</v>
      </c>
      <c r="AC12" s="16"/>
      <c r="AD12" s="16"/>
      <c r="AE12" s="1438"/>
      <c r="AF12" s="58" t="s">
        <v>50</v>
      </c>
      <c r="AG12" s="148">
        <v>1198.8</v>
      </c>
      <c r="AH12" s="149">
        <v>998.8</v>
      </c>
      <c r="AI12" s="45">
        <v>1006</v>
      </c>
      <c r="AJ12" s="46">
        <f>AI12/AH12</f>
        <v>1.0072086503804565</v>
      </c>
      <c r="AK12" s="114">
        <v>0</v>
      </c>
      <c r="AL12" s="150">
        <v>1000</v>
      </c>
      <c r="AM12" s="151">
        <v>559</v>
      </c>
      <c r="AN12" s="152">
        <f>AM12/AL12</f>
        <v>0.559</v>
      </c>
      <c r="AO12" s="114">
        <v>200</v>
      </c>
      <c r="AP12" s="141">
        <v>200</v>
      </c>
      <c r="AQ12" s="142">
        <v>139</v>
      </c>
      <c r="AR12" s="153">
        <f>AQ12/AP12</f>
        <v>0.695</v>
      </c>
      <c r="AS12" s="1438"/>
      <c r="AT12" s="113" t="s">
        <v>50</v>
      </c>
      <c r="AU12" s="114">
        <v>1000</v>
      </c>
      <c r="AV12" s="141">
        <v>1000</v>
      </c>
      <c r="AW12" s="142">
        <v>1027</v>
      </c>
      <c r="AX12" s="153">
        <f>AW12/AV12</f>
        <v>1.027</v>
      </c>
      <c r="AY12" s="114">
        <v>1000</v>
      </c>
      <c r="AZ12" s="90">
        <v>2297.3</v>
      </c>
      <c r="BA12" s="62">
        <v>2963</v>
      </c>
      <c r="BB12" s="95">
        <f>BA12/AZ12</f>
        <v>1.2897749532059373</v>
      </c>
      <c r="BC12" s="146">
        <v>400</v>
      </c>
      <c r="BD12" s="154">
        <v>400</v>
      </c>
      <c r="BE12" s="62">
        <v>118</v>
      </c>
      <c r="BF12" s="46">
        <f>BE12/BD12</f>
        <v>0.295</v>
      </c>
      <c r="BG12" s="1438"/>
      <c r="BH12" s="113" t="s">
        <v>50</v>
      </c>
      <c r="BI12" s="114">
        <f>BC12+AY12+AU12+AO12+AK12+AG12+Y12+U12+Q12+K12+G12+C12</f>
        <v>25298.8</v>
      </c>
      <c r="BJ12" s="90">
        <f aca="true" t="shared" si="1" ref="BJ12:BK26">BD12+AZ12+AV12+AP12+AL12+AH12+Z12+V12+R12+L12+H12+D12</f>
        <v>27796.1</v>
      </c>
      <c r="BK12" s="88">
        <f t="shared" si="1"/>
        <v>12367</v>
      </c>
      <c r="BL12" s="182">
        <f aca="true" t="shared" si="2" ref="BL12:BL27">BK12/BJ12</f>
        <v>0.44491853173646667</v>
      </c>
    </row>
    <row r="13" spans="1:64" ht="27" customHeight="1">
      <c r="A13" s="1504"/>
      <c r="B13" s="54" t="s">
        <v>43</v>
      </c>
      <c r="C13" s="114">
        <v>0</v>
      </c>
      <c r="D13" s="141">
        <v>0</v>
      </c>
      <c r="E13" s="142">
        <v>0</v>
      </c>
      <c r="F13" s="143">
        <v>0</v>
      </c>
      <c r="G13" s="114">
        <v>0</v>
      </c>
      <c r="H13" s="141">
        <v>0</v>
      </c>
      <c r="I13" s="142">
        <v>0</v>
      </c>
      <c r="J13" s="143">
        <v>0</v>
      </c>
      <c r="K13" s="144">
        <v>0</v>
      </c>
      <c r="L13" s="145">
        <v>0</v>
      </c>
      <c r="M13" s="142">
        <v>0</v>
      </c>
      <c r="N13" s="143">
        <v>0</v>
      </c>
      <c r="O13" s="1438"/>
      <c r="P13" s="57" t="s">
        <v>43</v>
      </c>
      <c r="Q13" s="114">
        <v>0</v>
      </c>
      <c r="R13" s="141">
        <v>0</v>
      </c>
      <c r="S13" s="62">
        <v>0</v>
      </c>
      <c r="T13" s="95">
        <v>0</v>
      </c>
      <c r="U13" s="146">
        <v>0</v>
      </c>
      <c r="V13" s="154">
        <v>0</v>
      </c>
      <c r="W13" s="147">
        <v>0</v>
      </c>
      <c r="X13" s="95">
        <v>0</v>
      </c>
      <c r="Y13" s="148">
        <v>0</v>
      </c>
      <c r="Z13" s="149">
        <v>0</v>
      </c>
      <c r="AA13" s="45">
        <v>0</v>
      </c>
      <c r="AB13" s="46">
        <v>0</v>
      </c>
      <c r="AC13" s="16"/>
      <c r="AD13" s="16"/>
      <c r="AE13" s="1438"/>
      <c r="AF13" s="54" t="s">
        <v>43</v>
      </c>
      <c r="AG13" s="148">
        <v>0</v>
      </c>
      <c r="AH13" s="149">
        <v>0</v>
      </c>
      <c r="AI13" s="45">
        <v>0</v>
      </c>
      <c r="AJ13" s="46">
        <v>0</v>
      </c>
      <c r="AK13" s="114">
        <v>0</v>
      </c>
      <c r="AL13" s="150">
        <v>0</v>
      </c>
      <c r="AM13" s="151">
        <v>0</v>
      </c>
      <c r="AN13" s="152">
        <v>0</v>
      </c>
      <c r="AO13" s="114">
        <v>0</v>
      </c>
      <c r="AP13" s="141">
        <v>0</v>
      </c>
      <c r="AQ13" s="142">
        <v>0</v>
      </c>
      <c r="AR13" s="153">
        <v>0</v>
      </c>
      <c r="AS13" s="1438"/>
      <c r="AT13" s="113" t="s">
        <v>43</v>
      </c>
      <c r="AU13" s="114">
        <v>0</v>
      </c>
      <c r="AV13" s="141">
        <v>0</v>
      </c>
      <c r="AW13" s="142">
        <v>0</v>
      </c>
      <c r="AX13" s="153">
        <v>0</v>
      </c>
      <c r="AY13" s="114">
        <v>0</v>
      </c>
      <c r="AZ13" s="90">
        <v>0</v>
      </c>
      <c r="BA13" s="62">
        <v>0</v>
      </c>
      <c r="BB13" s="95">
        <v>0</v>
      </c>
      <c r="BC13" s="146">
        <v>0</v>
      </c>
      <c r="BD13" s="154">
        <v>0</v>
      </c>
      <c r="BE13" s="62">
        <v>0</v>
      </c>
      <c r="BF13" s="46">
        <v>0</v>
      </c>
      <c r="BG13" s="1438"/>
      <c r="BH13" s="113" t="s">
        <v>43</v>
      </c>
      <c r="BI13" s="114">
        <f aca="true" t="shared" si="3" ref="BI13:BI21">BC13+AY13+AU13+AO13+AK13+AG13+Y13+U13+Q13+K13+G13+C13</f>
        <v>0</v>
      </c>
      <c r="BJ13" s="90">
        <f t="shared" si="1"/>
        <v>0</v>
      </c>
      <c r="BK13" s="88">
        <f t="shared" si="1"/>
        <v>0</v>
      </c>
      <c r="BL13" s="182">
        <v>0</v>
      </c>
    </row>
    <row r="14" spans="1:64" ht="27" customHeight="1">
      <c r="A14" s="1504"/>
      <c r="B14" s="58" t="s">
        <v>11</v>
      </c>
      <c r="C14" s="114">
        <v>0</v>
      </c>
      <c r="D14" s="141">
        <v>0</v>
      </c>
      <c r="E14" s="142">
        <v>0</v>
      </c>
      <c r="F14" s="143">
        <v>0</v>
      </c>
      <c r="G14" s="114">
        <v>100</v>
      </c>
      <c r="H14" s="141">
        <v>100</v>
      </c>
      <c r="I14" s="142">
        <v>6</v>
      </c>
      <c r="J14" s="143">
        <f>I14/H14</f>
        <v>0.06</v>
      </c>
      <c r="K14" s="144">
        <v>30</v>
      </c>
      <c r="L14" s="145">
        <v>30</v>
      </c>
      <c r="M14" s="142">
        <v>0</v>
      </c>
      <c r="N14" s="143">
        <f aca="true" t="shared" si="4" ref="N14:N21">M14/L14</f>
        <v>0</v>
      </c>
      <c r="O14" s="1438"/>
      <c r="P14" s="57" t="s">
        <v>11</v>
      </c>
      <c r="Q14" s="114">
        <v>150</v>
      </c>
      <c r="R14" s="141">
        <v>150</v>
      </c>
      <c r="S14" s="62">
        <v>45</v>
      </c>
      <c r="T14" s="95">
        <f aca="true" t="shared" si="5" ref="T14:T21">S14/R14</f>
        <v>0.3</v>
      </c>
      <c r="U14" s="146">
        <v>1200</v>
      </c>
      <c r="V14" s="154">
        <v>1200</v>
      </c>
      <c r="W14" s="147">
        <v>6</v>
      </c>
      <c r="X14" s="95">
        <f aca="true" t="shared" si="6" ref="X14:X21">W14/V14</f>
        <v>0.005</v>
      </c>
      <c r="Y14" s="148">
        <v>0</v>
      </c>
      <c r="Z14" s="149">
        <v>0</v>
      </c>
      <c r="AA14" s="45">
        <v>0</v>
      </c>
      <c r="AB14" s="46">
        <v>0</v>
      </c>
      <c r="AC14" s="16"/>
      <c r="AD14" s="16"/>
      <c r="AE14" s="1438"/>
      <c r="AF14" s="58" t="s">
        <v>11</v>
      </c>
      <c r="AG14" s="148">
        <v>0</v>
      </c>
      <c r="AH14" s="149">
        <v>0</v>
      </c>
      <c r="AI14" s="45">
        <v>0</v>
      </c>
      <c r="AJ14" s="46">
        <v>0</v>
      </c>
      <c r="AK14" s="114">
        <v>50</v>
      </c>
      <c r="AL14" s="150">
        <v>50</v>
      </c>
      <c r="AM14" s="151">
        <v>81</v>
      </c>
      <c r="AN14" s="152">
        <f>AM14/AL14</f>
        <v>1.62</v>
      </c>
      <c r="AO14" s="114">
        <v>200</v>
      </c>
      <c r="AP14" s="141">
        <v>200</v>
      </c>
      <c r="AQ14" s="142">
        <v>0</v>
      </c>
      <c r="AR14" s="153">
        <f>AQ14/AO14</f>
        <v>0</v>
      </c>
      <c r="AS14" s="1438"/>
      <c r="AT14" s="113" t="s">
        <v>11</v>
      </c>
      <c r="AU14" s="114">
        <v>260</v>
      </c>
      <c r="AV14" s="141">
        <v>260</v>
      </c>
      <c r="AW14" s="142">
        <v>120</v>
      </c>
      <c r="AX14" s="153">
        <f>AW14/AV14</f>
        <v>0.46153846153846156</v>
      </c>
      <c r="AY14" s="114">
        <v>0</v>
      </c>
      <c r="AZ14" s="90">
        <v>0</v>
      </c>
      <c r="BA14" s="62">
        <v>0</v>
      </c>
      <c r="BB14" s="95">
        <v>0</v>
      </c>
      <c r="BC14" s="146">
        <v>0</v>
      </c>
      <c r="BD14" s="154">
        <v>0</v>
      </c>
      <c r="BE14" s="62">
        <v>0</v>
      </c>
      <c r="BF14" s="46">
        <v>0</v>
      </c>
      <c r="BG14" s="1438"/>
      <c r="BH14" s="113" t="s">
        <v>11</v>
      </c>
      <c r="BI14" s="114">
        <f t="shared" si="3"/>
        <v>1990</v>
      </c>
      <c r="BJ14" s="90">
        <f t="shared" si="1"/>
        <v>1990</v>
      </c>
      <c r="BK14" s="88">
        <f t="shared" si="1"/>
        <v>258</v>
      </c>
      <c r="BL14" s="182">
        <f t="shared" si="2"/>
        <v>0.12964824120603016</v>
      </c>
    </row>
    <row r="15" spans="1:64" ht="27" customHeight="1">
      <c r="A15" s="1504"/>
      <c r="B15" s="58" t="s">
        <v>12</v>
      </c>
      <c r="C15" s="114">
        <v>443</v>
      </c>
      <c r="D15" s="141">
        <v>443</v>
      </c>
      <c r="E15" s="142">
        <v>340</v>
      </c>
      <c r="F15" s="143">
        <f>E15/D15</f>
        <v>0.7674943566591422</v>
      </c>
      <c r="G15" s="114">
        <v>700</v>
      </c>
      <c r="H15" s="141">
        <v>700</v>
      </c>
      <c r="I15" s="142">
        <v>1059</v>
      </c>
      <c r="J15" s="143">
        <f>I15/H15</f>
        <v>1.512857142857143</v>
      </c>
      <c r="K15" s="144">
        <v>1600</v>
      </c>
      <c r="L15" s="145">
        <v>1600</v>
      </c>
      <c r="M15" s="142">
        <v>1549</v>
      </c>
      <c r="N15" s="143">
        <f t="shared" si="4"/>
        <v>0.968125</v>
      </c>
      <c r="O15" s="1438"/>
      <c r="P15" s="57" t="s">
        <v>12</v>
      </c>
      <c r="Q15" s="114">
        <v>1700</v>
      </c>
      <c r="R15" s="141">
        <v>1700</v>
      </c>
      <c r="S15" s="62">
        <v>2254</v>
      </c>
      <c r="T15" s="95">
        <f t="shared" si="5"/>
        <v>1.3258823529411765</v>
      </c>
      <c r="U15" s="146">
        <v>1100</v>
      </c>
      <c r="V15" s="154">
        <v>1100</v>
      </c>
      <c r="W15" s="147">
        <v>1268</v>
      </c>
      <c r="X15" s="95">
        <f t="shared" si="6"/>
        <v>1.1527272727272728</v>
      </c>
      <c r="Y15" s="148">
        <v>0</v>
      </c>
      <c r="Z15" s="149">
        <v>150</v>
      </c>
      <c r="AA15" s="45">
        <v>76</v>
      </c>
      <c r="AB15" s="46">
        <f>AA15/Z15</f>
        <v>0.5066666666666667</v>
      </c>
      <c r="AC15" s="16"/>
      <c r="AD15" s="16"/>
      <c r="AE15" s="1438"/>
      <c r="AF15" s="58" t="s">
        <v>12</v>
      </c>
      <c r="AG15" s="148">
        <v>208.9</v>
      </c>
      <c r="AH15" s="149">
        <v>408.9</v>
      </c>
      <c r="AI15" s="45">
        <v>193</v>
      </c>
      <c r="AJ15" s="46">
        <f>AI15/AH15</f>
        <v>0.4719980435314258</v>
      </c>
      <c r="AK15" s="114">
        <v>1100</v>
      </c>
      <c r="AL15" s="150">
        <v>1100</v>
      </c>
      <c r="AM15" s="151">
        <v>1043</v>
      </c>
      <c r="AN15" s="152">
        <f>AM15/AL15</f>
        <v>0.9481818181818182</v>
      </c>
      <c r="AO15" s="114">
        <v>188</v>
      </c>
      <c r="AP15" s="141">
        <v>188</v>
      </c>
      <c r="AQ15" s="142">
        <v>143</v>
      </c>
      <c r="AR15" s="153">
        <f>AQ15/AP15</f>
        <v>0.7606382978723404</v>
      </c>
      <c r="AS15" s="1438"/>
      <c r="AT15" s="113" t="s">
        <v>12</v>
      </c>
      <c r="AU15" s="114">
        <v>1600</v>
      </c>
      <c r="AV15" s="141">
        <v>1600</v>
      </c>
      <c r="AW15" s="142">
        <v>1699</v>
      </c>
      <c r="AX15" s="153">
        <f>AW15/AV15</f>
        <v>1.061875</v>
      </c>
      <c r="AY15" s="114">
        <v>250</v>
      </c>
      <c r="AZ15" s="90">
        <v>250</v>
      </c>
      <c r="BA15" s="62">
        <v>250</v>
      </c>
      <c r="BB15" s="95">
        <f>BA15/AZ15</f>
        <v>1</v>
      </c>
      <c r="BC15" s="146">
        <v>590</v>
      </c>
      <c r="BD15" s="154">
        <v>590</v>
      </c>
      <c r="BE15" s="62">
        <v>573</v>
      </c>
      <c r="BF15" s="46">
        <f>BE15/BD15</f>
        <v>0.9711864406779661</v>
      </c>
      <c r="BG15" s="1438"/>
      <c r="BH15" s="113" t="s">
        <v>12</v>
      </c>
      <c r="BI15" s="114">
        <f t="shared" si="3"/>
        <v>9479.9</v>
      </c>
      <c r="BJ15" s="90">
        <f t="shared" si="1"/>
        <v>9829.9</v>
      </c>
      <c r="BK15" s="88">
        <f t="shared" si="1"/>
        <v>10447</v>
      </c>
      <c r="BL15" s="182">
        <f t="shared" si="2"/>
        <v>1.0627778512497583</v>
      </c>
    </row>
    <row r="16" spans="1:64" ht="27" customHeight="1">
      <c r="A16" s="1504"/>
      <c r="B16" s="58" t="s">
        <v>13</v>
      </c>
      <c r="C16" s="114">
        <v>0</v>
      </c>
      <c r="D16" s="141">
        <v>0</v>
      </c>
      <c r="E16" s="142">
        <v>0</v>
      </c>
      <c r="F16" s="143">
        <v>0</v>
      </c>
      <c r="G16" s="114">
        <v>60</v>
      </c>
      <c r="H16" s="141">
        <v>60</v>
      </c>
      <c r="I16" s="142">
        <v>0</v>
      </c>
      <c r="J16" s="143">
        <f>I16/H16</f>
        <v>0</v>
      </c>
      <c r="K16" s="144">
        <v>20</v>
      </c>
      <c r="L16" s="145">
        <v>20</v>
      </c>
      <c r="M16" s="142">
        <v>75</v>
      </c>
      <c r="N16" s="143">
        <f t="shared" si="4"/>
        <v>3.75</v>
      </c>
      <c r="O16" s="1438"/>
      <c r="P16" s="57" t="s">
        <v>13</v>
      </c>
      <c r="Q16" s="114">
        <v>500</v>
      </c>
      <c r="R16" s="141">
        <v>500</v>
      </c>
      <c r="S16" s="62">
        <v>864</v>
      </c>
      <c r="T16" s="95">
        <f t="shared" si="5"/>
        <v>1.728</v>
      </c>
      <c r="U16" s="146">
        <v>50</v>
      </c>
      <c r="V16" s="154">
        <v>50</v>
      </c>
      <c r="W16" s="147">
        <v>265</v>
      </c>
      <c r="X16" s="95">
        <f t="shared" si="6"/>
        <v>5.3</v>
      </c>
      <c r="Y16" s="148">
        <v>0</v>
      </c>
      <c r="Z16" s="149">
        <v>0</v>
      </c>
      <c r="AA16" s="45">
        <v>0</v>
      </c>
      <c r="AB16" s="46">
        <v>0</v>
      </c>
      <c r="AC16" s="16"/>
      <c r="AD16" s="16"/>
      <c r="AE16" s="1438"/>
      <c r="AF16" s="58" t="s">
        <v>13</v>
      </c>
      <c r="AG16" s="148">
        <v>0</v>
      </c>
      <c r="AH16" s="149">
        <v>0</v>
      </c>
      <c r="AI16" s="45">
        <v>0</v>
      </c>
      <c r="AJ16" s="46">
        <v>0</v>
      </c>
      <c r="AK16" s="114">
        <v>61</v>
      </c>
      <c r="AL16" s="150">
        <v>61</v>
      </c>
      <c r="AM16" s="151">
        <v>19</v>
      </c>
      <c r="AN16" s="152">
        <f>AM16/AL16</f>
        <v>0.3114754098360656</v>
      </c>
      <c r="AO16" s="114">
        <v>0</v>
      </c>
      <c r="AP16" s="141">
        <v>0</v>
      </c>
      <c r="AQ16" s="142">
        <v>0</v>
      </c>
      <c r="AR16" s="153">
        <v>0</v>
      </c>
      <c r="AS16" s="1438"/>
      <c r="AT16" s="113" t="s">
        <v>13</v>
      </c>
      <c r="AU16" s="114">
        <v>84</v>
      </c>
      <c r="AV16" s="141">
        <v>84</v>
      </c>
      <c r="AW16" s="142">
        <v>212</v>
      </c>
      <c r="AX16" s="153">
        <f>AW16/AV16</f>
        <v>2.5238095238095237</v>
      </c>
      <c r="AY16" s="114">
        <v>0</v>
      </c>
      <c r="AZ16" s="90">
        <v>0</v>
      </c>
      <c r="BA16" s="62">
        <v>0</v>
      </c>
      <c r="BB16" s="95">
        <v>0</v>
      </c>
      <c r="BC16" s="146">
        <v>0</v>
      </c>
      <c r="BD16" s="154">
        <v>0</v>
      </c>
      <c r="BE16" s="62">
        <v>0</v>
      </c>
      <c r="BF16" s="46">
        <v>0</v>
      </c>
      <c r="BG16" s="1438"/>
      <c r="BH16" s="113" t="s">
        <v>13</v>
      </c>
      <c r="BI16" s="114">
        <f t="shared" si="3"/>
        <v>775</v>
      </c>
      <c r="BJ16" s="90">
        <f t="shared" si="1"/>
        <v>775</v>
      </c>
      <c r="BK16" s="88">
        <f t="shared" si="1"/>
        <v>1435</v>
      </c>
      <c r="BL16" s="182">
        <f t="shared" si="2"/>
        <v>1.8516129032258064</v>
      </c>
    </row>
    <row r="17" spans="1:64" ht="27" customHeight="1">
      <c r="A17" s="1504"/>
      <c r="B17" s="58" t="s">
        <v>14</v>
      </c>
      <c r="C17" s="155">
        <v>246</v>
      </c>
      <c r="D17" s="156">
        <v>246</v>
      </c>
      <c r="E17" s="142">
        <v>23</v>
      </c>
      <c r="F17" s="143">
        <f>E17/D17</f>
        <v>0.09349593495934959</v>
      </c>
      <c r="G17" s="155">
        <v>477</v>
      </c>
      <c r="H17" s="156">
        <v>477</v>
      </c>
      <c r="I17" s="142">
        <v>397</v>
      </c>
      <c r="J17" s="143">
        <f>I17/H17</f>
        <v>0.8322851153039832</v>
      </c>
      <c r="K17" s="144">
        <v>320</v>
      </c>
      <c r="L17" s="145">
        <v>320</v>
      </c>
      <c r="M17" s="142">
        <v>340</v>
      </c>
      <c r="N17" s="143">
        <f t="shared" si="4"/>
        <v>1.0625</v>
      </c>
      <c r="O17" s="1438"/>
      <c r="P17" s="57" t="s">
        <v>14</v>
      </c>
      <c r="Q17" s="114">
        <v>1285</v>
      </c>
      <c r="R17" s="141">
        <v>1285</v>
      </c>
      <c r="S17" s="62">
        <v>936</v>
      </c>
      <c r="T17" s="95">
        <f t="shared" si="5"/>
        <v>0.7284046692607004</v>
      </c>
      <c r="U17" s="146">
        <v>670</v>
      </c>
      <c r="V17" s="154">
        <v>670</v>
      </c>
      <c r="W17" s="147">
        <v>503</v>
      </c>
      <c r="X17" s="95">
        <f t="shared" si="6"/>
        <v>0.7507462686567165</v>
      </c>
      <c r="Y17" s="148">
        <v>0</v>
      </c>
      <c r="Z17" s="149">
        <v>100</v>
      </c>
      <c r="AA17" s="45">
        <v>7</v>
      </c>
      <c r="AB17" s="46">
        <f>AA17/Z17</f>
        <v>0.07</v>
      </c>
      <c r="AC17" s="16"/>
      <c r="AD17" s="16"/>
      <c r="AE17" s="1438"/>
      <c r="AF17" s="58" t="s">
        <v>14</v>
      </c>
      <c r="AG17" s="148">
        <v>776.8</v>
      </c>
      <c r="AH17" s="149">
        <v>776.8</v>
      </c>
      <c r="AI17" s="45">
        <v>453</v>
      </c>
      <c r="AJ17" s="46">
        <f>AI17/AH17</f>
        <v>0.5831616889804325</v>
      </c>
      <c r="AK17" s="155">
        <v>235</v>
      </c>
      <c r="AL17" s="157">
        <v>235</v>
      </c>
      <c r="AM17" s="151">
        <v>584</v>
      </c>
      <c r="AN17" s="152">
        <f>AM17/AL17</f>
        <v>2.4851063829787234</v>
      </c>
      <c r="AO17" s="155">
        <v>122</v>
      </c>
      <c r="AP17" s="156">
        <v>122</v>
      </c>
      <c r="AQ17" s="142">
        <v>43</v>
      </c>
      <c r="AR17" s="153">
        <f>AQ17/AP17</f>
        <v>0.3524590163934426</v>
      </c>
      <c r="AS17" s="1438"/>
      <c r="AT17" s="113" t="s">
        <v>14</v>
      </c>
      <c r="AU17" s="155">
        <v>540</v>
      </c>
      <c r="AV17" s="156">
        <v>540</v>
      </c>
      <c r="AW17" s="142">
        <v>381</v>
      </c>
      <c r="AX17" s="153">
        <f>AW17/AV17</f>
        <v>0.7055555555555556</v>
      </c>
      <c r="AY17" s="155">
        <v>800</v>
      </c>
      <c r="AZ17" s="90">
        <v>1832.4</v>
      </c>
      <c r="BA17" s="62">
        <v>2616</v>
      </c>
      <c r="BB17" s="95">
        <f>BA17/AZ17</f>
        <v>1.4276358873608381</v>
      </c>
      <c r="BC17" s="146">
        <v>114</v>
      </c>
      <c r="BD17" s="154">
        <v>114</v>
      </c>
      <c r="BE17" s="62">
        <v>266</v>
      </c>
      <c r="BF17" s="46">
        <f>BE17/BD17</f>
        <v>2.3333333333333335</v>
      </c>
      <c r="BG17" s="1438"/>
      <c r="BH17" s="113" t="s">
        <v>14</v>
      </c>
      <c r="BI17" s="114">
        <f t="shared" si="3"/>
        <v>5585.8</v>
      </c>
      <c r="BJ17" s="90">
        <f t="shared" si="1"/>
        <v>6718.2</v>
      </c>
      <c r="BK17" s="88">
        <f t="shared" si="1"/>
        <v>6549</v>
      </c>
      <c r="BL17" s="182">
        <f t="shared" si="2"/>
        <v>0.9748146825042422</v>
      </c>
    </row>
    <row r="18" spans="1:64" ht="27" customHeight="1">
      <c r="A18" s="1504"/>
      <c r="B18" s="58" t="s">
        <v>176</v>
      </c>
      <c r="C18" s="155">
        <v>0</v>
      </c>
      <c r="D18" s="156">
        <v>0</v>
      </c>
      <c r="E18" s="142">
        <v>0</v>
      </c>
      <c r="F18" s="143">
        <v>0</v>
      </c>
      <c r="G18" s="155">
        <v>0</v>
      </c>
      <c r="H18" s="156">
        <v>0</v>
      </c>
      <c r="I18" s="142">
        <v>0</v>
      </c>
      <c r="J18" s="143">
        <v>0</v>
      </c>
      <c r="K18" s="144">
        <v>0</v>
      </c>
      <c r="L18" s="145">
        <v>0</v>
      </c>
      <c r="M18" s="142">
        <v>0</v>
      </c>
      <c r="N18" s="143">
        <v>0</v>
      </c>
      <c r="O18" s="1438"/>
      <c r="P18" s="58" t="s">
        <v>176</v>
      </c>
      <c r="Q18" s="114">
        <v>0</v>
      </c>
      <c r="R18" s="141">
        <v>0</v>
      </c>
      <c r="S18" s="62">
        <v>0</v>
      </c>
      <c r="T18" s="95">
        <v>0</v>
      </c>
      <c r="U18" s="146">
        <v>0</v>
      </c>
      <c r="V18" s="154">
        <v>0</v>
      </c>
      <c r="W18" s="147">
        <v>0</v>
      </c>
      <c r="X18" s="95">
        <v>0</v>
      </c>
      <c r="Y18" s="148">
        <v>0</v>
      </c>
      <c r="Z18" s="149">
        <v>0</v>
      </c>
      <c r="AA18" s="45">
        <v>0</v>
      </c>
      <c r="AB18" s="46">
        <v>0</v>
      </c>
      <c r="AC18" s="16"/>
      <c r="AD18" s="16"/>
      <c r="AE18" s="1438"/>
      <c r="AF18" s="58" t="s">
        <v>176</v>
      </c>
      <c r="AG18" s="148">
        <v>0</v>
      </c>
      <c r="AH18" s="149">
        <v>0</v>
      </c>
      <c r="AI18" s="45">
        <v>0</v>
      </c>
      <c r="AJ18" s="46">
        <v>0</v>
      </c>
      <c r="AK18" s="155">
        <v>0</v>
      </c>
      <c r="AL18" s="157">
        <v>0</v>
      </c>
      <c r="AM18" s="151">
        <v>0</v>
      </c>
      <c r="AN18" s="152">
        <v>0</v>
      </c>
      <c r="AO18" s="155">
        <v>0</v>
      </c>
      <c r="AP18" s="156">
        <v>0</v>
      </c>
      <c r="AQ18" s="142">
        <v>0</v>
      </c>
      <c r="AR18" s="153">
        <v>0</v>
      </c>
      <c r="AS18" s="1438"/>
      <c r="AT18" s="115" t="s">
        <v>176</v>
      </c>
      <c r="AU18" s="155">
        <v>0</v>
      </c>
      <c r="AV18" s="156">
        <v>0</v>
      </c>
      <c r="AW18" s="142">
        <v>0</v>
      </c>
      <c r="AX18" s="153">
        <v>0</v>
      </c>
      <c r="AY18" s="155">
        <v>0</v>
      </c>
      <c r="AZ18" s="90">
        <v>0</v>
      </c>
      <c r="BA18" s="62">
        <v>0</v>
      </c>
      <c r="BB18" s="95">
        <v>0</v>
      </c>
      <c r="BC18" s="146">
        <v>0</v>
      </c>
      <c r="BD18" s="154">
        <v>0</v>
      </c>
      <c r="BE18" s="62">
        <v>0</v>
      </c>
      <c r="BF18" s="46">
        <v>0</v>
      </c>
      <c r="BG18" s="1438"/>
      <c r="BH18" s="115" t="s">
        <v>176</v>
      </c>
      <c r="BI18" s="114">
        <f t="shared" si="3"/>
        <v>0</v>
      </c>
      <c r="BJ18" s="90">
        <f t="shared" si="1"/>
        <v>0</v>
      </c>
      <c r="BK18" s="88">
        <f t="shared" si="1"/>
        <v>0</v>
      </c>
      <c r="BL18" s="182">
        <v>0</v>
      </c>
    </row>
    <row r="19" spans="1:64" ht="27" customHeight="1">
      <c r="A19" s="1504"/>
      <c r="B19" s="58" t="s">
        <v>177</v>
      </c>
      <c r="C19" s="155">
        <v>0</v>
      </c>
      <c r="D19" s="156">
        <v>0</v>
      </c>
      <c r="E19" s="142">
        <v>0</v>
      </c>
      <c r="F19" s="143">
        <v>0</v>
      </c>
      <c r="G19" s="155">
        <v>0</v>
      </c>
      <c r="H19" s="156">
        <v>0</v>
      </c>
      <c r="I19" s="142">
        <v>0</v>
      </c>
      <c r="J19" s="143">
        <v>0</v>
      </c>
      <c r="K19" s="144">
        <v>0</v>
      </c>
      <c r="L19" s="145">
        <v>0</v>
      </c>
      <c r="M19" s="142">
        <v>0</v>
      </c>
      <c r="N19" s="143">
        <v>0</v>
      </c>
      <c r="O19" s="1438"/>
      <c r="P19" s="58" t="s">
        <v>177</v>
      </c>
      <c r="Q19" s="114">
        <v>0</v>
      </c>
      <c r="R19" s="141">
        <v>0</v>
      </c>
      <c r="S19" s="62">
        <v>0</v>
      </c>
      <c r="T19" s="95">
        <v>0</v>
      </c>
      <c r="U19" s="146">
        <v>0</v>
      </c>
      <c r="V19" s="154">
        <v>0</v>
      </c>
      <c r="W19" s="147">
        <v>0</v>
      </c>
      <c r="X19" s="95">
        <v>0</v>
      </c>
      <c r="Y19" s="148">
        <v>0</v>
      </c>
      <c r="Z19" s="149">
        <v>0</v>
      </c>
      <c r="AA19" s="45">
        <v>0</v>
      </c>
      <c r="AB19" s="46">
        <v>0</v>
      </c>
      <c r="AC19" s="16"/>
      <c r="AD19" s="16"/>
      <c r="AE19" s="1438"/>
      <c r="AF19" s="58" t="s">
        <v>177</v>
      </c>
      <c r="AG19" s="148">
        <v>0</v>
      </c>
      <c r="AH19" s="149">
        <v>0</v>
      </c>
      <c r="AI19" s="45">
        <v>0</v>
      </c>
      <c r="AJ19" s="46">
        <v>0</v>
      </c>
      <c r="AK19" s="155">
        <v>0</v>
      </c>
      <c r="AL19" s="157">
        <v>0</v>
      </c>
      <c r="AM19" s="151">
        <v>0</v>
      </c>
      <c r="AN19" s="152">
        <v>0</v>
      </c>
      <c r="AO19" s="155">
        <v>0</v>
      </c>
      <c r="AP19" s="156">
        <v>0</v>
      </c>
      <c r="AQ19" s="142">
        <v>0</v>
      </c>
      <c r="AR19" s="153">
        <v>0</v>
      </c>
      <c r="AS19" s="1438"/>
      <c r="AT19" s="115" t="s">
        <v>177</v>
      </c>
      <c r="AU19" s="155">
        <v>0</v>
      </c>
      <c r="AV19" s="156">
        <v>0</v>
      </c>
      <c r="AW19" s="142">
        <v>0</v>
      </c>
      <c r="AX19" s="153">
        <v>0</v>
      </c>
      <c r="AY19" s="155">
        <v>0</v>
      </c>
      <c r="AZ19" s="90">
        <v>0</v>
      </c>
      <c r="BA19" s="62">
        <v>0</v>
      </c>
      <c r="BB19" s="95">
        <v>0</v>
      </c>
      <c r="BC19" s="146">
        <v>0</v>
      </c>
      <c r="BD19" s="154">
        <v>0</v>
      </c>
      <c r="BE19" s="62">
        <v>0</v>
      </c>
      <c r="BF19" s="46">
        <v>0</v>
      </c>
      <c r="BG19" s="1438"/>
      <c r="BH19" s="115" t="s">
        <v>177</v>
      </c>
      <c r="BI19" s="114">
        <f t="shared" si="3"/>
        <v>0</v>
      </c>
      <c r="BJ19" s="90">
        <f t="shared" si="1"/>
        <v>0</v>
      </c>
      <c r="BK19" s="88">
        <f t="shared" si="1"/>
        <v>0</v>
      </c>
      <c r="BL19" s="182">
        <v>0</v>
      </c>
    </row>
    <row r="20" spans="1:64" ht="27" customHeight="1">
      <c r="A20" s="1504"/>
      <c r="B20" s="58" t="s">
        <v>44</v>
      </c>
      <c r="C20" s="155">
        <v>0</v>
      </c>
      <c r="D20" s="156">
        <v>0</v>
      </c>
      <c r="E20" s="142">
        <v>62</v>
      </c>
      <c r="F20" s="143">
        <v>0</v>
      </c>
      <c r="G20" s="155">
        <v>615</v>
      </c>
      <c r="H20" s="156">
        <v>615</v>
      </c>
      <c r="I20" s="142">
        <v>2297</v>
      </c>
      <c r="J20" s="143">
        <f>I20/H20</f>
        <v>3.734959349593496</v>
      </c>
      <c r="K20" s="144">
        <v>2220</v>
      </c>
      <c r="L20" s="145">
        <v>2220</v>
      </c>
      <c r="M20" s="142">
        <v>12771</v>
      </c>
      <c r="N20" s="143">
        <f t="shared" si="4"/>
        <v>5.7527027027027025</v>
      </c>
      <c r="O20" s="1438"/>
      <c r="P20" s="57" t="s">
        <v>44</v>
      </c>
      <c r="Q20" s="114">
        <v>1010</v>
      </c>
      <c r="R20" s="141">
        <v>1010</v>
      </c>
      <c r="S20" s="62">
        <v>20618</v>
      </c>
      <c r="T20" s="95">
        <v>0</v>
      </c>
      <c r="U20" s="146">
        <v>1730</v>
      </c>
      <c r="V20" s="154">
        <v>1730</v>
      </c>
      <c r="W20" s="147">
        <v>6968</v>
      </c>
      <c r="X20" s="95">
        <f t="shared" si="6"/>
        <v>4.027745664739885</v>
      </c>
      <c r="Y20" s="148">
        <v>0</v>
      </c>
      <c r="Z20" s="149">
        <v>0</v>
      </c>
      <c r="AA20" s="45">
        <v>23</v>
      </c>
      <c r="AB20" s="46">
        <v>0</v>
      </c>
      <c r="AC20" s="16"/>
      <c r="AD20" s="16"/>
      <c r="AE20" s="1438"/>
      <c r="AF20" s="58" t="s">
        <v>44</v>
      </c>
      <c r="AG20" s="148">
        <v>0</v>
      </c>
      <c r="AH20" s="149">
        <v>0</v>
      </c>
      <c r="AI20" s="45">
        <v>231</v>
      </c>
      <c r="AJ20" s="46">
        <v>0</v>
      </c>
      <c r="AK20" s="155">
        <v>570</v>
      </c>
      <c r="AL20" s="157">
        <v>570</v>
      </c>
      <c r="AM20" s="151">
        <v>387</v>
      </c>
      <c r="AN20" s="152">
        <f>AM20/AL20</f>
        <v>0.6789473684210526</v>
      </c>
      <c r="AO20" s="155">
        <v>0</v>
      </c>
      <c r="AP20" s="156">
        <v>0</v>
      </c>
      <c r="AQ20" s="142">
        <v>291</v>
      </c>
      <c r="AR20" s="153">
        <v>0</v>
      </c>
      <c r="AS20" s="1438"/>
      <c r="AT20" s="113" t="s">
        <v>44</v>
      </c>
      <c r="AU20" s="155">
        <v>500</v>
      </c>
      <c r="AV20" s="156">
        <v>500</v>
      </c>
      <c r="AW20" s="142">
        <v>1327</v>
      </c>
      <c r="AX20" s="153">
        <f>AW20/AV20</f>
        <v>2.654</v>
      </c>
      <c r="AY20" s="155">
        <v>0</v>
      </c>
      <c r="AZ20" s="90">
        <v>0</v>
      </c>
      <c r="BA20" s="62">
        <v>0</v>
      </c>
      <c r="BB20" s="95">
        <v>0</v>
      </c>
      <c r="BC20" s="146">
        <v>471</v>
      </c>
      <c r="BD20" s="154">
        <v>471</v>
      </c>
      <c r="BE20" s="62">
        <v>527</v>
      </c>
      <c r="BF20" s="46">
        <f>BE20/BD20</f>
        <v>1.118895966029724</v>
      </c>
      <c r="BG20" s="1438"/>
      <c r="BH20" s="113" t="s">
        <v>44</v>
      </c>
      <c r="BI20" s="114">
        <f t="shared" si="3"/>
        <v>7116</v>
      </c>
      <c r="BJ20" s="90">
        <f t="shared" si="1"/>
        <v>7116</v>
      </c>
      <c r="BK20" s="88">
        <f t="shared" si="1"/>
        <v>45502</v>
      </c>
      <c r="BL20" s="182">
        <f t="shared" si="2"/>
        <v>6.394322653175942</v>
      </c>
    </row>
    <row r="21" spans="1:64" ht="27" customHeight="1">
      <c r="A21" s="1504"/>
      <c r="B21" s="58" t="s">
        <v>15</v>
      </c>
      <c r="C21" s="155">
        <v>580</v>
      </c>
      <c r="D21" s="156">
        <v>580</v>
      </c>
      <c r="E21" s="142">
        <v>13</v>
      </c>
      <c r="F21" s="143">
        <f>E21/D21</f>
        <v>0.022413793103448276</v>
      </c>
      <c r="G21" s="155">
        <v>65</v>
      </c>
      <c r="H21" s="156">
        <v>65</v>
      </c>
      <c r="I21" s="142">
        <v>226</v>
      </c>
      <c r="J21" s="143">
        <f>I21/H21</f>
        <v>3.476923076923077</v>
      </c>
      <c r="K21" s="144">
        <v>150</v>
      </c>
      <c r="L21" s="145">
        <v>150</v>
      </c>
      <c r="M21" s="142">
        <v>283</v>
      </c>
      <c r="N21" s="143">
        <f t="shared" si="4"/>
        <v>1.8866666666666667</v>
      </c>
      <c r="O21" s="1438"/>
      <c r="P21" s="58" t="s">
        <v>15</v>
      </c>
      <c r="Q21" s="114">
        <v>445</v>
      </c>
      <c r="R21" s="141">
        <v>445</v>
      </c>
      <c r="S21" s="62">
        <v>1816</v>
      </c>
      <c r="T21" s="95">
        <f t="shared" si="5"/>
        <v>4.080898876404494</v>
      </c>
      <c r="U21" s="146">
        <v>215</v>
      </c>
      <c r="V21" s="154">
        <v>215</v>
      </c>
      <c r="W21" s="147">
        <v>603</v>
      </c>
      <c r="X21" s="95">
        <f t="shared" si="6"/>
        <v>2.8046511627906976</v>
      </c>
      <c r="Y21" s="148">
        <v>0</v>
      </c>
      <c r="Z21" s="149">
        <v>400</v>
      </c>
      <c r="AA21" s="45">
        <v>5</v>
      </c>
      <c r="AB21" s="46">
        <f>AA21/Z21</f>
        <v>0.0125</v>
      </c>
      <c r="AC21" s="16"/>
      <c r="AD21" s="16"/>
      <c r="AE21" s="1438"/>
      <c r="AF21" s="58" t="s">
        <v>15</v>
      </c>
      <c r="AG21" s="148">
        <v>1845.8</v>
      </c>
      <c r="AH21" s="149">
        <v>1845.8</v>
      </c>
      <c r="AI21" s="45">
        <v>0</v>
      </c>
      <c r="AJ21" s="46">
        <f>AI21/AH21</f>
        <v>0</v>
      </c>
      <c r="AK21" s="155">
        <v>80</v>
      </c>
      <c r="AL21" s="157">
        <v>80</v>
      </c>
      <c r="AM21" s="151">
        <v>241</v>
      </c>
      <c r="AN21" s="152">
        <f>AM21/AL21</f>
        <v>3.0125</v>
      </c>
      <c r="AO21" s="155">
        <v>320</v>
      </c>
      <c r="AP21" s="156">
        <v>320</v>
      </c>
      <c r="AQ21" s="142">
        <v>8</v>
      </c>
      <c r="AR21" s="153">
        <f>AQ21/AP21</f>
        <v>0.025</v>
      </c>
      <c r="AS21" s="1438"/>
      <c r="AT21" s="58" t="s">
        <v>15</v>
      </c>
      <c r="AU21" s="155">
        <v>325</v>
      </c>
      <c r="AV21" s="156">
        <v>325</v>
      </c>
      <c r="AW21" s="142">
        <v>660</v>
      </c>
      <c r="AX21" s="153">
        <f>AW21/AV21</f>
        <v>2.0307692307692307</v>
      </c>
      <c r="AY21" s="155">
        <v>100</v>
      </c>
      <c r="AZ21" s="90">
        <v>100</v>
      </c>
      <c r="BA21" s="62">
        <v>7</v>
      </c>
      <c r="BB21" s="95">
        <f>BA21/AZ21</f>
        <v>0.07</v>
      </c>
      <c r="BC21" s="146">
        <v>0</v>
      </c>
      <c r="BD21" s="154">
        <v>0</v>
      </c>
      <c r="BE21" s="62">
        <v>0</v>
      </c>
      <c r="BF21" s="46">
        <v>0</v>
      </c>
      <c r="BG21" s="1438"/>
      <c r="BH21" s="58" t="s">
        <v>15</v>
      </c>
      <c r="BI21" s="114">
        <f t="shared" si="3"/>
        <v>4125.8</v>
      </c>
      <c r="BJ21" s="90">
        <f t="shared" si="1"/>
        <v>4525.8</v>
      </c>
      <c r="BK21" s="88">
        <f t="shared" si="1"/>
        <v>3862</v>
      </c>
      <c r="BL21" s="182">
        <f t="shared" si="2"/>
        <v>0.8533297980467541</v>
      </c>
    </row>
    <row r="22" spans="1:64" ht="27" customHeight="1">
      <c r="A22" s="1504"/>
      <c r="B22" s="158" t="s">
        <v>131</v>
      </c>
      <c r="C22" s="159">
        <v>0</v>
      </c>
      <c r="D22" s="160">
        <v>0</v>
      </c>
      <c r="E22" s="161">
        <v>0</v>
      </c>
      <c r="F22" s="162">
        <v>0</v>
      </c>
      <c r="G22" s="159">
        <v>0</v>
      </c>
      <c r="H22" s="160">
        <v>0</v>
      </c>
      <c r="I22" s="161">
        <v>0</v>
      </c>
      <c r="J22" s="143">
        <v>0</v>
      </c>
      <c r="K22" s="163">
        <v>0</v>
      </c>
      <c r="L22" s="164">
        <v>0</v>
      </c>
      <c r="M22" s="161">
        <v>0</v>
      </c>
      <c r="N22" s="162">
        <v>0</v>
      </c>
      <c r="O22" s="1438"/>
      <c r="P22" s="158" t="s">
        <v>131</v>
      </c>
      <c r="Q22" s="165">
        <v>0</v>
      </c>
      <c r="R22" s="91">
        <v>0</v>
      </c>
      <c r="S22" s="127">
        <v>0</v>
      </c>
      <c r="T22" s="166">
        <v>0</v>
      </c>
      <c r="U22" s="167">
        <v>0</v>
      </c>
      <c r="V22" s="168">
        <v>0</v>
      </c>
      <c r="W22" s="169">
        <v>0</v>
      </c>
      <c r="X22" s="166">
        <v>0</v>
      </c>
      <c r="Y22" s="170">
        <v>0</v>
      </c>
      <c r="Z22" s="171">
        <v>0</v>
      </c>
      <c r="AA22" s="94">
        <v>0</v>
      </c>
      <c r="AB22" s="172">
        <v>0</v>
      </c>
      <c r="AC22" s="16"/>
      <c r="AD22" s="16"/>
      <c r="AE22" s="1438"/>
      <c r="AF22" s="158" t="s">
        <v>131</v>
      </c>
      <c r="AG22" s="170">
        <v>0</v>
      </c>
      <c r="AH22" s="171">
        <v>0</v>
      </c>
      <c r="AI22" s="94">
        <v>0</v>
      </c>
      <c r="AJ22" s="172">
        <v>0</v>
      </c>
      <c r="AK22" s="159">
        <v>0</v>
      </c>
      <c r="AL22" s="91">
        <v>0</v>
      </c>
      <c r="AM22" s="173">
        <v>0</v>
      </c>
      <c r="AN22" s="174">
        <v>0</v>
      </c>
      <c r="AO22" s="159">
        <v>0</v>
      </c>
      <c r="AP22" s="91">
        <v>0</v>
      </c>
      <c r="AQ22" s="161">
        <v>0</v>
      </c>
      <c r="AR22" s="175">
        <v>0</v>
      </c>
      <c r="AS22" s="1438"/>
      <c r="AT22" s="158" t="s">
        <v>131</v>
      </c>
      <c r="AU22" s="159">
        <v>0</v>
      </c>
      <c r="AV22" s="91">
        <v>0</v>
      </c>
      <c r="AW22" s="161">
        <v>0</v>
      </c>
      <c r="AX22" s="175">
        <v>0</v>
      </c>
      <c r="AY22" s="159">
        <v>0</v>
      </c>
      <c r="AZ22" s="160">
        <v>0</v>
      </c>
      <c r="BA22" s="127">
        <v>0</v>
      </c>
      <c r="BB22" s="166">
        <v>0</v>
      </c>
      <c r="BC22" s="167">
        <v>0</v>
      </c>
      <c r="BD22" s="168">
        <v>0</v>
      </c>
      <c r="BE22" s="127">
        <v>0</v>
      </c>
      <c r="BF22" s="172">
        <v>0</v>
      </c>
      <c r="BG22" s="1438"/>
      <c r="BH22" s="158" t="s">
        <v>131</v>
      </c>
      <c r="BI22" s="114">
        <f>BC22+AY22+AU22+AO22+AK22+AG22+Z22+U22+Q22+K22+G22+C22</f>
        <v>0</v>
      </c>
      <c r="BJ22" s="90">
        <f t="shared" si="1"/>
        <v>0</v>
      </c>
      <c r="BK22" s="88">
        <f t="shared" si="1"/>
        <v>0</v>
      </c>
      <c r="BL22" s="182">
        <v>0</v>
      </c>
    </row>
    <row r="23" spans="1:64" s="183" customFormat="1" ht="27" customHeight="1">
      <c r="A23" s="1504"/>
      <c r="B23" s="176" t="s">
        <v>16</v>
      </c>
      <c r="C23" s="155">
        <v>0</v>
      </c>
      <c r="D23" s="177">
        <v>0</v>
      </c>
      <c r="E23" s="142">
        <v>0</v>
      </c>
      <c r="F23" s="143">
        <v>0</v>
      </c>
      <c r="G23" s="155">
        <v>0</v>
      </c>
      <c r="H23" s="177">
        <v>0</v>
      </c>
      <c r="I23" s="142">
        <v>0</v>
      </c>
      <c r="J23" s="143">
        <v>0</v>
      </c>
      <c r="K23" s="144">
        <v>0</v>
      </c>
      <c r="L23" s="178">
        <v>0</v>
      </c>
      <c r="M23" s="142">
        <v>0</v>
      </c>
      <c r="N23" s="143">
        <v>0</v>
      </c>
      <c r="O23" s="1438"/>
      <c r="P23" s="176" t="s">
        <v>16</v>
      </c>
      <c r="Q23" s="114">
        <v>0</v>
      </c>
      <c r="R23" s="90">
        <v>0</v>
      </c>
      <c r="S23" s="142">
        <v>0</v>
      </c>
      <c r="T23" s="152">
        <v>0</v>
      </c>
      <c r="U23" s="114">
        <v>0</v>
      </c>
      <c r="V23" s="90">
        <v>0</v>
      </c>
      <c r="W23" s="179">
        <v>0</v>
      </c>
      <c r="X23" s="152">
        <v>0</v>
      </c>
      <c r="Y23" s="144">
        <v>0</v>
      </c>
      <c r="Z23" s="180">
        <v>0</v>
      </c>
      <c r="AA23" s="128">
        <v>0</v>
      </c>
      <c r="AB23" s="153">
        <v>0</v>
      </c>
      <c r="AC23" s="181"/>
      <c r="AD23" s="181"/>
      <c r="AE23" s="1438"/>
      <c r="AF23" s="176" t="s">
        <v>16</v>
      </c>
      <c r="AG23" s="144">
        <v>0</v>
      </c>
      <c r="AH23" s="180">
        <v>0</v>
      </c>
      <c r="AI23" s="128">
        <v>0</v>
      </c>
      <c r="AJ23" s="153">
        <v>0</v>
      </c>
      <c r="AK23" s="155">
        <v>0</v>
      </c>
      <c r="AL23" s="177">
        <v>0</v>
      </c>
      <c r="AM23" s="151">
        <v>0</v>
      </c>
      <c r="AN23" s="152">
        <v>0</v>
      </c>
      <c r="AO23" s="155">
        <v>0</v>
      </c>
      <c r="AP23" s="177">
        <v>0</v>
      </c>
      <c r="AQ23" s="142">
        <v>0</v>
      </c>
      <c r="AR23" s="153">
        <v>0</v>
      </c>
      <c r="AS23" s="1438"/>
      <c r="AT23" s="176" t="s">
        <v>16</v>
      </c>
      <c r="AU23" s="155">
        <v>0</v>
      </c>
      <c r="AV23" s="177">
        <v>0</v>
      </c>
      <c r="AW23" s="142">
        <v>0</v>
      </c>
      <c r="AX23" s="153">
        <v>0</v>
      </c>
      <c r="AY23" s="155">
        <v>0</v>
      </c>
      <c r="AZ23" s="177">
        <v>0</v>
      </c>
      <c r="BA23" s="142">
        <v>0</v>
      </c>
      <c r="BB23" s="152">
        <v>0</v>
      </c>
      <c r="BC23" s="114">
        <v>0</v>
      </c>
      <c r="BD23" s="90">
        <v>0</v>
      </c>
      <c r="BE23" s="142">
        <v>0</v>
      </c>
      <c r="BF23" s="153">
        <v>0</v>
      </c>
      <c r="BG23" s="1438"/>
      <c r="BH23" s="176" t="s">
        <v>16</v>
      </c>
      <c r="BI23" s="114">
        <f>BC23+AY23+AU23+AO23+AK23+AG23+Z23+U23+Q23+K23+G23+C23</f>
        <v>0</v>
      </c>
      <c r="BJ23" s="90">
        <f t="shared" si="1"/>
        <v>0</v>
      </c>
      <c r="BK23" s="88">
        <f t="shared" si="1"/>
        <v>0</v>
      </c>
      <c r="BL23" s="182">
        <v>0</v>
      </c>
    </row>
    <row r="24" spans="1:64" s="183" customFormat="1" ht="27" customHeight="1">
      <c r="A24" s="1504"/>
      <c r="B24" s="176" t="s">
        <v>178</v>
      </c>
      <c r="C24" s="155">
        <v>0</v>
      </c>
      <c r="D24" s="177">
        <v>0</v>
      </c>
      <c r="E24" s="142">
        <v>0</v>
      </c>
      <c r="F24" s="143">
        <v>0</v>
      </c>
      <c r="G24" s="155">
        <v>0</v>
      </c>
      <c r="H24" s="177">
        <v>0</v>
      </c>
      <c r="I24" s="142">
        <v>0</v>
      </c>
      <c r="J24" s="143">
        <v>0</v>
      </c>
      <c r="K24" s="144">
        <v>0</v>
      </c>
      <c r="L24" s="178">
        <v>0</v>
      </c>
      <c r="M24" s="142">
        <v>0</v>
      </c>
      <c r="N24" s="143">
        <v>0</v>
      </c>
      <c r="O24" s="1438"/>
      <c r="P24" s="176" t="s">
        <v>178</v>
      </c>
      <c r="Q24" s="114">
        <v>0</v>
      </c>
      <c r="R24" s="90">
        <v>0</v>
      </c>
      <c r="S24" s="142">
        <v>0</v>
      </c>
      <c r="T24" s="152">
        <v>0</v>
      </c>
      <c r="U24" s="114">
        <v>0</v>
      </c>
      <c r="V24" s="90">
        <v>0</v>
      </c>
      <c r="W24" s="179">
        <v>0</v>
      </c>
      <c r="X24" s="152">
        <v>0</v>
      </c>
      <c r="Y24" s="144">
        <v>0</v>
      </c>
      <c r="Z24" s="180">
        <v>0</v>
      </c>
      <c r="AA24" s="128">
        <v>0</v>
      </c>
      <c r="AB24" s="153">
        <v>0</v>
      </c>
      <c r="AC24" s="181"/>
      <c r="AD24" s="181"/>
      <c r="AE24" s="1438"/>
      <c r="AF24" s="176" t="s">
        <v>178</v>
      </c>
      <c r="AG24" s="144">
        <v>0</v>
      </c>
      <c r="AH24" s="180">
        <v>0</v>
      </c>
      <c r="AI24" s="128">
        <v>0</v>
      </c>
      <c r="AJ24" s="153">
        <v>0</v>
      </c>
      <c r="AK24" s="155">
        <v>0</v>
      </c>
      <c r="AL24" s="177">
        <v>0</v>
      </c>
      <c r="AM24" s="184">
        <v>0</v>
      </c>
      <c r="AN24" s="152">
        <v>0</v>
      </c>
      <c r="AO24" s="155">
        <v>0</v>
      </c>
      <c r="AP24" s="177">
        <v>0</v>
      </c>
      <c r="AQ24" s="142">
        <v>0</v>
      </c>
      <c r="AR24" s="153">
        <v>0</v>
      </c>
      <c r="AS24" s="1438"/>
      <c r="AT24" s="176" t="s">
        <v>178</v>
      </c>
      <c r="AU24" s="155">
        <v>0</v>
      </c>
      <c r="AV24" s="177">
        <v>0</v>
      </c>
      <c r="AW24" s="142">
        <v>0</v>
      </c>
      <c r="AX24" s="153">
        <v>0</v>
      </c>
      <c r="AY24" s="155">
        <v>0</v>
      </c>
      <c r="AZ24" s="177">
        <v>0</v>
      </c>
      <c r="BA24" s="142">
        <v>0</v>
      </c>
      <c r="BB24" s="152">
        <v>0</v>
      </c>
      <c r="BC24" s="114">
        <v>0</v>
      </c>
      <c r="BD24" s="90">
        <v>0</v>
      </c>
      <c r="BE24" s="142">
        <v>0</v>
      </c>
      <c r="BF24" s="153">
        <v>0</v>
      </c>
      <c r="BG24" s="1438"/>
      <c r="BH24" s="176" t="s">
        <v>178</v>
      </c>
      <c r="BI24" s="114">
        <f>BC24+AY24+AU24+AO24+AK24+AG24+Z24+U24+Q24+K24+G24+C24</f>
        <v>0</v>
      </c>
      <c r="BJ24" s="90">
        <f t="shared" si="1"/>
        <v>0</v>
      </c>
      <c r="BK24" s="88">
        <f t="shared" si="1"/>
        <v>0</v>
      </c>
      <c r="BL24" s="182">
        <v>0</v>
      </c>
    </row>
    <row r="25" spans="1:64" s="183" customFormat="1" ht="27" customHeight="1">
      <c r="A25" s="1504"/>
      <c r="B25" s="176" t="s">
        <v>133</v>
      </c>
      <c r="C25" s="155">
        <v>0</v>
      </c>
      <c r="D25" s="177">
        <v>0</v>
      </c>
      <c r="E25" s="142">
        <v>0</v>
      </c>
      <c r="F25" s="143">
        <v>0</v>
      </c>
      <c r="G25" s="155">
        <v>0</v>
      </c>
      <c r="H25" s="177">
        <v>0</v>
      </c>
      <c r="I25" s="142">
        <v>0</v>
      </c>
      <c r="J25" s="143">
        <v>0</v>
      </c>
      <c r="K25" s="144">
        <v>0</v>
      </c>
      <c r="L25" s="178">
        <v>0</v>
      </c>
      <c r="M25" s="142">
        <v>0</v>
      </c>
      <c r="N25" s="143">
        <v>0</v>
      </c>
      <c r="O25" s="1438"/>
      <c r="P25" s="176" t="s">
        <v>133</v>
      </c>
      <c r="Q25" s="114">
        <v>0</v>
      </c>
      <c r="R25" s="90">
        <v>0</v>
      </c>
      <c r="S25" s="142">
        <v>0</v>
      </c>
      <c r="T25" s="152">
        <v>0</v>
      </c>
      <c r="U25" s="114">
        <v>0</v>
      </c>
      <c r="V25" s="90">
        <v>0</v>
      </c>
      <c r="W25" s="179">
        <v>0</v>
      </c>
      <c r="X25" s="152">
        <v>0</v>
      </c>
      <c r="Y25" s="144">
        <v>0</v>
      </c>
      <c r="Z25" s="180">
        <v>0</v>
      </c>
      <c r="AA25" s="128">
        <v>0</v>
      </c>
      <c r="AB25" s="153">
        <v>0</v>
      </c>
      <c r="AC25" s="181"/>
      <c r="AD25" s="181"/>
      <c r="AE25" s="1438"/>
      <c r="AF25" s="176" t="s">
        <v>133</v>
      </c>
      <c r="AG25" s="144">
        <v>0</v>
      </c>
      <c r="AH25" s="180">
        <v>0</v>
      </c>
      <c r="AI25" s="128">
        <v>0</v>
      </c>
      <c r="AJ25" s="153">
        <v>0</v>
      </c>
      <c r="AK25" s="155">
        <v>0</v>
      </c>
      <c r="AL25" s="177">
        <v>0</v>
      </c>
      <c r="AM25" s="184">
        <v>0</v>
      </c>
      <c r="AN25" s="152">
        <v>0</v>
      </c>
      <c r="AO25" s="155">
        <v>0</v>
      </c>
      <c r="AP25" s="177">
        <v>0</v>
      </c>
      <c r="AQ25" s="142">
        <v>0</v>
      </c>
      <c r="AR25" s="153">
        <v>0</v>
      </c>
      <c r="AS25" s="1438"/>
      <c r="AT25" s="176" t="s">
        <v>133</v>
      </c>
      <c r="AU25" s="155">
        <v>0</v>
      </c>
      <c r="AV25" s="177">
        <v>0</v>
      </c>
      <c r="AW25" s="142">
        <v>0</v>
      </c>
      <c r="AX25" s="153">
        <v>0</v>
      </c>
      <c r="AY25" s="155">
        <v>0</v>
      </c>
      <c r="AZ25" s="177">
        <v>0</v>
      </c>
      <c r="BA25" s="142">
        <v>0</v>
      </c>
      <c r="BB25" s="152">
        <v>0</v>
      </c>
      <c r="BC25" s="114">
        <v>0</v>
      </c>
      <c r="BD25" s="90">
        <v>0</v>
      </c>
      <c r="BE25" s="142">
        <v>0</v>
      </c>
      <c r="BF25" s="153">
        <v>0</v>
      </c>
      <c r="BG25" s="1438"/>
      <c r="BH25" s="176" t="s">
        <v>133</v>
      </c>
      <c r="BI25" s="114">
        <f>BC25+AY25+AU25+AO25+AK25+AG25+Z25+U25+Q25+K25+G25+C25</f>
        <v>0</v>
      </c>
      <c r="BJ25" s="90">
        <f t="shared" si="1"/>
        <v>0</v>
      </c>
      <c r="BK25" s="88">
        <f t="shared" si="1"/>
        <v>0</v>
      </c>
      <c r="BL25" s="182">
        <v>0</v>
      </c>
    </row>
    <row r="26" spans="1:64" ht="27" customHeight="1">
      <c r="A26" s="1504"/>
      <c r="B26" s="185" t="s">
        <v>132</v>
      </c>
      <c r="C26" s="186">
        <v>0</v>
      </c>
      <c r="D26" s="187">
        <v>0</v>
      </c>
      <c r="E26" s="188">
        <v>0</v>
      </c>
      <c r="F26" s="189">
        <v>0</v>
      </c>
      <c r="G26" s="190">
        <v>0</v>
      </c>
      <c r="H26" s="191">
        <v>0</v>
      </c>
      <c r="I26" s="188">
        <v>0</v>
      </c>
      <c r="J26" s="143">
        <v>0</v>
      </c>
      <c r="K26" s="192">
        <v>0</v>
      </c>
      <c r="L26" s="193">
        <v>0</v>
      </c>
      <c r="M26" s="188">
        <v>0</v>
      </c>
      <c r="N26" s="189">
        <v>0</v>
      </c>
      <c r="O26" s="1438"/>
      <c r="P26" s="185" t="s">
        <v>132</v>
      </c>
      <c r="Q26" s="194">
        <v>0</v>
      </c>
      <c r="R26" s="195">
        <v>0</v>
      </c>
      <c r="S26" s="188">
        <v>0</v>
      </c>
      <c r="T26" s="196">
        <v>0</v>
      </c>
      <c r="U26" s="194">
        <v>0</v>
      </c>
      <c r="V26" s="195">
        <v>0</v>
      </c>
      <c r="W26" s="197">
        <v>0</v>
      </c>
      <c r="X26" s="196">
        <v>0</v>
      </c>
      <c r="Y26" s="192">
        <v>0</v>
      </c>
      <c r="Z26" s="198">
        <v>0</v>
      </c>
      <c r="AA26" s="199">
        <v>0</v>
      </c>
      <c r="AB26" s="200">
        <v>0</v>
      </c>
      <c r="AC26" s="16"/>
      <c r="AD26" s="16"/>
      <c r="AE26" s="1438"/>
      <c r="AF26" s="185" t="s">
        <v>132</v>
      </c>
      <c r="AG26" s="192">
        <v>0</v>
      </c>
      <c r="AH26" s="198">
        <v>0</v>
      </c>
      <c r="AI26" s="199">
        <v>0</v>
      </c>
      <c r="AJ26" s="200">
        <v>0</v>
      </c>
      <c r="AK26" s="190">
        <v>0</v>
      </c>
      <c r="AL26" s="191">
        <v>0</v>
      </c>
      <c r="AM26" s="188">
        <v>0</v>
      </c>
      <c r="AN26" s="196">
        <v>0</v>
      </c>
      <c r="AO26" s="190">
        <v>0</v>
      </c>
      <c r="AP26" s="191">
        <v>0</v>
      </c>
      <c r="AQ26" s="188">
        <v>0</v>
      </c>
      <c r="AR26" s="200">
        <v>0</v>
      </c>
      <c r="AS26" s="1438"/>
      <c r="AT26" s="185" t="s">
        <v>132</v>
      </c>
      <c r="AU26" s="190">
        <v>0</v>
      </c>
      <c r="AV26" s="191">
        <v>0</v>
      </c>
      <c r="AW26" s="188">
        <v>0</v>
      </c>
      <c r="AX26" s="200">
        <v>0</v>
      </c>
      <c r="AY26" s="190">
        <v>0</v>
      </c>
      <c r="AZ26" s="191">
        <v>0</v>
      </c>
      <c r="BA26" s="188">
        <v>0</v>
      </c>
      <c r="BB26" s="196">
        <v>0</v>
      </c>
      <c r="BC26" s="201">
        <v>0</v>
      </c>
      <c r="BD26" s="202">
        <v>0</v>
      </c>
      <c r="BE26" s="188">
        <v>0</v>
      </c>
      <c r="BF26" s="200">
        <v>0</v>
      </c>
      <c r="BG26" s="1438"/>
      <c r="BH26" s="185" t="s">
        <v>132</v>
      </c>
      <c r="BI26" s="258">
        <f>BC26+AY26+AU26+AO26+AK26+AG26+Z26+U26+Q26+K26+G26+C26</f>
        <v>0</v>
      </c>
      <c r="BJ26" s="259">
        <f t="shared" si="1"/>
        <v>0</v>
      </c>
      <c r="BK26" s="327">
        <f t="shared" si="1"/>
        <v>0</v>
      </c>
      <c r="BL26" s="369">
        <v>0</v>
      </c>
    </row>
    <row r="27" spans="1:64" ht="36.75" customHeight="1">
      <c r="A27" s="1505"/>
      <c r="B27" s="9" t="s">
        <v>42</v>
      </c>
      <c r="C27" s="203">
        <f>SUM(C11:C26)</f>
        <v>8769</v>
      </c>
      <c r="D27" s="204">
        <f>SUM(D11:D26)</f>
        <v>2993.5</v>
      </c>
      <c r="E27" s="48">
        <f>SUM(E11:E26)</f>
        <v>776</v>
      </c>
      <c r="F27" s="205">
        <f>E27/D27</f>
        <v>0.2592283280440955</v>
      </c>
      <c r="G27" s="203">
        <f>SUM(G11:G26)</f>
        <v>7517</v>
      </c>
      <c r="H27" s="204">
        <f>SUM(H11:H26)</f>
        <v>8687</v>
      </c>
      <c r="I27" s="48">
        <f>SUM(I11:I26)</f>
        <v>6601</v>
      </c>
      <c r="J27" s="205">
        <f>I27/H27</f>
        <v>0.7598710717163578</v>
      </c>
      <c r="K27" s="117">
        <f>SUM(K11:K26)</f>
        <v>20340</v>
      </c>
      <c r="L27" s="206">
        <f>SUM(L11:L26)</f>
        <v>20590</v>
      </c>
      <c r="M27" s="48">
        <f>SUM(M11:M26)</f>
        <v>16860</v>
      </c>
      <c r="N27" s="205">
        <f>M27/L27</f>
        <v>0.818844099077222</v>
      </c>
      <c r="O27" s="1438"/>
      <c r="P27" s="8" t="s">
        <v>42</v>
      </c>
      <c r="Q27" s="117">
        <f>SUM(Q11:Q26)</f>
        <v>30740</v>
      </c>
      <c r="R27" s="207">
        <f>SUM(R11:R26)</f>
        <v>39270</v>
      </c>
      <c r="S27" s="60">
        <f>SUM(S11:S26)</f>
        <v>43937</v>
      </c>
      <c r="T27" s="208">
        <f>S27/R27</f>
        <v>1.1188439011968423</v>
      </c>
      <c r="U27" s="117">
        <f>SUM(U11:U26)</f>
        <v>11715</v>
      </c>
      <c r="V27" s="207">
        <f>SUM(V11:V26)</f>
        <v>17555</v>
      </c>
      <c r="W27" s="60">
        <f>SUM(W11:W26)</f>
        <v>14020</v>
      </c>
      <c r="X27" s="208">
        <f>W27/V27</f>
        <v>0.7986328681287382</v>
      </c>
      <c r="Y27" s="117">
        <f>SUM(Y11:Y26)</f>
        <v>0</v>
      </c>
      <c r="Z27" s="207">
        <f>SUM(Z11:Z26)</f>
        <v>1050</v>
      </c>
      <c r="AA27" s="49">
        <f>SUM(AA11:AA26)</f>
        <v>204</v>
      </c>
      <c r="AB27" s="205">
        <f>AA27/Z27</f>
        <v>0.19428571428571428</v>
      </c>
      <c r="AC27" s="17"/>
      <c r="AD27" s="17"/>
      <c r="AE27" s="1439"/>
      <c r="AF27" s="5" t="s">
        <v>42</v>
      </c>
      <c r="AG27" s="117">
        <f>SUM(AG11:AG26)</f>
        <v>4030.3</v>
      </c>
      <c r="AH27" s="207">
        <f>SUM(AH11:AH26)</f>
        <v>4030.3</v>
      </c>
      <c r="AI27" s="49">
        <f>SUM(AI11:AI26)</f>
        <v>1883</v>
      </c>
      <c r="AJ27" s="205">
        <f>AI27/AH27</f>
        <v>0.46721087760216357</v>
      </c>
      <c r="AK27" s="203">
        <f>SUM(AK11:AK26)</f>
        <v>2596</v>
      </c>
      <c r="AL27" s="204">
        <f>SUM(AL11:AL26)</f>
        <v>5196</v>
      </c>
      <c r="AM27" s="48">
        <f>SUM(AM11:AM26)</f>
        <v>3590</v>
      </c>
      <c r="AN27" s="208">
        <f>AM27/AL27</f>
        <v>0.6909160892994611</v>
      </c>
      <c r="AO27" s="203">
        <f>SUM(AO11:AO26)</f>
        <v>4030</v>
      </c>
      <c r="AP27" s="204">
        <f>SUM(AP11:AP26)</f>
        <v>4030</v>
      </c>
      <c r="AQ27" s="48">
        <f>SUM(AQ11:AQ26)</f>
        <v>624</v>
      </c>
      <c r="AR27" s="205">
        <f>AQ27/AP27</f>
        <v>0.15483870967741936</v>
      </c>
      <c r="AS27" s="1439"/>
      <c r="AT27" s="116" t="s">
        <v>42</v>
      </c>
      <c r="AU27" s="203">
        <f>SUM(AU11:AU22)</f>
        <v>17709</v>
      </c>
      <c r="AV27" s="204">
        <f>SUM(AV11:AV22)</f>
        <v>19573</v>
      </c>
      <c r="AW27" s="48">
        <f>SUM(AW11:AW26)</f>
        <v>16089</v>
      </c>
      <c r="AX27" s="205">
        <f>AW27/AV27</f>
        <v>0.82199969345527</v>
      </c>
      <c r="AY27" s="203">
        <f>SUM(AY11:AY22)</f>
        <v>3301</v>
      </c>
      <c r="AZ27" s="204">
        <f>SUM(AZ11:AZ22)</f>
        <v>5630.700000000001</v>
      </c>
      <c r="BA27" s="18">
        <f>SUM(BA11:BA26)</f>
        <v>5836</v>
      </c>
      <c r="BB27" s="208">
        <f>BA27/AZ27</f>
        <v>1.0364608308025645</v>
      </c>
      <c r="BC27" s="203">
        <f>SUM(BC11:BC26)</f>
        <v>3275</v>
      </c>
      <c r="BD27" s="204">
        <f>SUM(BD11:BD26)</f>
        <v>5550.5</v>
      </c>
      <c r="BE27" s="18">
        <f>SUM(BE11:BE26)</f>
        <v>4215</v>
      </c>
      <c r="BF27" s="205">
        <f>BE27/BD27</f>
        <v>0.7593910458517251</v>
      </c>
      <c r="BG27" s="1439"/>
      <c r="BH27" s="116" t="s">
        <v>42</v>
      </c>
      <c r="BI27" s="117">
        <f>SUM(BI11:BI26)</f>
        <v>114022.3</v>
      </c>
      <c r="BJ27" s="207">
        <f>BD27+AZ27+AV27+AP27+AL27+AH27+Z27+V27+R27+L27+H27+D27</f>
        <v>134156</v>
      </c>
      <c r="BK27" s="370">
        <f>BE27+BA27+AW27+AQ27+AM27+AI27+AA27+W27+S27+M27+I27+E27</f>
        <v>114635</v>
      </c>
      <c r="BL27" s="92">
        <f t="shared" si="2"/>
        <v>0.8544902948805868</v>
      </c>
    </row>
    <row r="28" spans="1:64" ht="27" customHeight="1">
      <c r="A28" s="1442" t="s">
        <v>39</v>
      </c>
      <c r="B28" s="53" t="s">
        <v>7</v>
      </c>
      <c r="C28" s="209">
        <v>312</v>
      </c>
      <c r="D28" s="210">
        <v>312</v>
      </c>
      <c r="E28" s="131">
        <v>83</v>
      </c>
      <c r="F28" s="96">
        <f>E28/D28</f>
        <v>0.266025641025641</v>
      </c>
      <c r="G28" s="129">
        <v>6000</v>
      </c>
      <c r="H28" s="132">
        <v>6000</v>
      </c>
      <c r="I28" s="131">
        <v>5343</v>
      </c>
      <c r="J28" s="96">
        <f>I28/H28</f>
        <v>0.8905</v>
      </c>
      <c r="K28" s="129">
        <v>12000</v>
      </c>
      <c r="L28" s="132">
        <v>12000</v>
      </c>
      <c r="M28" s="131">
        <v>13146</v>
      </c>
      <c r="N28" s="96">
        <f>M28/L28</f>
        <v>1.0955</v>
      </c>
      <c r="O28" s="1437" t="s">
        <v>39</v>
      </c>
      <c r="P28" s="56" t="s">
        <v>7</v>
      </c>
      <c r="Q28" s="112">
        <v>17200</v>
      </c>
      <c r="R28" s="135">
        <v>21700</v>
      </c>
      <c r="S28" s="61">
        <v>23793</v>
      </c>
      <c r="T28" s="136">
        <f>S28/R28</f>
        <v>1.0964516129032258</v>
      </c>
      <c r="U28" s="165">
        <v>7500</v>
      </c>
      <c r="V28" s="132">
        <v>7500</v>
      </c>
      <c r="W28" s="211">
        <v>7738</v>
      </c>
      <c r="X28" s="136">
        <f>W28/V28</f>
        <v>1.0317333333333334</v>
      </c>
      <c r="Y28" s="133">
        <v>0</v>
      </c>
      <c r="Z28" s="212">
        <v>0</v>
      </c>
      <c r="AA28" s="213">
        <v>0</v>
      </c>
      <c r="AB28" s="138">
        <v>0</v>
      </c>
      <c r="AC28" s="16"/>
      <c r="AD28" s="16"/>
      <c r="AE28" s="1437" t="s">
        <v>39</v>
      </c>
      <c r="AF28" s="53" t="s">
        <v>7</v>
      </c>
      <c r="AG28" s="133">
        <v>0</v>
      </c>
      <c r="AH28" s="212">
        <v>0</v>
      </c>
      <c r="AI28" s="213">
        <v>0</v>
      </c>
      <c r="AJ28" s="138">
        <v>0</v>
      </c>
      <c r="AK28" s="112">
        <v>0</v>
      </c>
      <c r="AL28" s="89">
        <v>0</v>
      </c>
      <c r="AM28" s="131">
        <v>0</v>
      </c>
      <c r="AN28" s="136">
        <v>0</v>
      </c>
      <c r="AO28" s="129">
        <v>0</v>
      </c>
      <c r="AP28" s="130">
        <v>0</v>
      </c>
      <c r="AQ28" s="131">
        <v>1</v>
      </c>
      <c r="AR28" s="138">
        <v>0</v>
      </c>
      <c r="AS28" s="1415" t="s">
        <v>39</v>
      </c>
      <c r="AT28" s="697" t="s">
        <v>7</v>
      </c>
      <c r="AU28" s="698">
        <v>55</v>
      </c>
      <c r="AV28" s="699">
        <v>55</v>
      </c>
      <c r="AW28" s="700">
        <v>55</v>
      </c>
      <c r="AX28" s="701">
        <f>AW28/AV28</f>
        <v>1</v>
      </c>
      <c r="AY28" s="702">
        <v>0</v>
      </c>
      <c r="AZ28" s="703">
        <v>0</v>
      </c>
      <c r="BA28" s="704">
        <v>0</v>
      </c>
      <c r="BB28" s="705">
        <v>0</v>
      </c>
      <c r="BC28" s="698">
        <v>0</v>
      </c>
      <c r="BD28" s="699">
        <v>0</v>
      </c>
      <c r="BE28" s="700">
        <v>0</v>
      </c>
      <c r="BF28" s="701">
        <v>0</v>
      </c>
      <c r="BG28" s="1415" t="s">
        <v>39</v>
      </c>
      <c r="BH28" s="697" t="s">
        <v>7</v>
      </c>
      <c r="BI28" s="698">
        <f aca="true" t="shared" si="7" ref="BI28:BK38">BC28+AY28+AU28+AO28+AK28+AG28+K28+G28+C28+Y28+U28+Q28</f>
        <v>43067</v>
      </c>
      <c r="BJ28" s="733">
        <f t="shared" si="7"/>
        <v>47567</v>
      </c>
      <c r="BK28" s="734">
        <f t="shared" si="7"/>
        <v>50159</v>
      </c>
      <c r="BL28" s="735">
        <f>BK28/BJ28</f>
        <v>1.0544915592742867</v>
      </c>
    </row>
    <row r="29" spans="1:64" ht="27" customHeight="1">
      <c r="A29" s="1442"/>
      <c r="B29" s="58" t="s">
        <v>19</v>
      </c>
      <c r="C29" s="214">
        <v>2406</v>
      </c>
      <c r="D29" s="215">
        <v>2406</v>
      </c>
      <c r="E29" s="151">
        <v>2014</v>
      </c>
      <c r="F29" s="143">
        <f>E29/D29</f>
        <v>0.8370739817123857</v>
      </c>
      <c r="G29" s="114">
        <v>2100</v>
      </c>
      <c r="H29" s="141">
        <v>2100</v>
      </c>
      <c r="I29" s="142">
        <v>3535</v>
      </c>
      <c r="J29" s="143">
        <f>I29/H29</f>
        <v>1.6833333333333333</v>
      </c>
      <c r="K29" s="114">
        <v>32000</v>
      </c>
      <c r="L29" s="141">
        <v>32000</v>
      </c>
      <c r="M29" s="142">
        <v>28292</v>
      </c>
      <c r="N29" s="143">
        <f>M29/L29</f>
        <v>0.884125</v>
      </c>
      <c r="O29" s="1445"/>
      <c r="P29" s="57" t="s">
        <v>19</v>
      </c>
      <c r="Q29" s="114">
        <v>12100</v>
      </c>
      <c r="R29" s="141">
        <v>12100</v>
      </c>
      <c r="S29" s="62">
        <v>14088</v>
      </c>
      <c r="T29" s="95">
        <f>S29/R29</f>
        <v>1.164297520661157</v>
      </c>
      <c r="U29" s="146">
        <v>1000</v>
      </c>
      <c r="V29" s="99">
        <v>1000</v>
      </c>
      <c r="W29" s="44">
        <v>849</v>
      </c>
      <c r="X29" s="95">
        <f>W29/V29</f>
        <v>0.849</v>
      </c>
      <c r="Y29" s="148">
        <v>1361.3</v>
      </c>
      <c r="Z29" s="216">
        <v>360</v>
      </c>
      <c r="AA29" s="217">
        <v>374</v>
      </c>
      <c r="AB29" s="46">
        <f>AA29/Z29</f>
        <v>1.038888888888889</v>
      </c>
      <c r="AC29" s="16"/>
      <c r="AD29" s="16"/>
      <c r="AE29" s="1438"/>
      <c r="AF29" s="58" t="s">
        <v>19</v>
      </c>
      <c r="AG29" s="148">
        <v>1044</v>
      </c>
      <c r="AH29" s="216">
        <v>1044</v>
      </c>
      <c r="AI29" s="217">
        <v>899</v>
      </c>
      <c r="AJ29" s="46">
        <f>AI29/AH29</f>
        <v>0.8611111111111112</v>
      </c>
      <c r="AK29" s="114">
        <v>11500</v>
      </c>
      <c r="AL29" s="90">
        <v>11500</v>
      </c>
      <c r="AM29" s="151">
        <v>10523</v>
      </c>
      <c r="AN29" s="152">
        <f>AM29/AL29</f>
        <v>0.9150434782608695</v>
      </c>
      <c r="AO29" s="114">
        <v>1022</v>
      </c>
      <c r="AP29" s="90">
        <v>1022</v>
      </c>
      <c r="AQ29" s="142">
        <v>1494</v>
      </c>
      <c r="AR29" s="153">
        <f>AQ29/AP29</f>
        <v>1.461839530332681</v>
      </c>
      <c r="AS29" s="1416"/>
      <c r="AT29" s="706" t="s">
        <v>19</v>
      </c>
      <c r="AU29" s="155">
        <v>21000</v>
      </c>
      <c r="AV29" s="177">
        <v>21000</v>
      </c>
      <c r="AW29" s="707">
        <v>16632</v>
      </c>
      <c r="AX29" s="708">
        <f>AW29/AV29</f>
        <v>0.792</v>
      </c>
      <c r="AY29" s="155">
        <v>37</v>
      </c>
      <c r="AZ29" s="177">
        <v>37</v>
      </c>
      <c r="BA29" s="709">
        <v>37</v>
      </c>
      <c r="BB29" s="710">
        <f>BA29/AZ29</f>
        <v>1</v>
      </c>
      <c r="BC29" s="711">
        <v>1801</v>
      </c>
      <c r="BD29" s="712">
        <v>1801</v>
      </c>
      <c r="BE29" s="709">
        <v>1279</v>
      </c>
      <c r="BF29" s="713">
        <f>BE29/BD29</f>
        <v>0.7101610216546363</v>
      </c>
      <c r="BG29" s="1416"/>
      <c r="BH29" s="706" t="s">
        <v>19</v>
      </c>
      <c r="BI29" s="711">
        <f t="shared" si="7"/>
        <v>87371.3</v>
      </c>
      <c r="BJ29" s="712">
        <f t="shared" si="7"/>
        <v>86370</v>
      </c>
      <c r="BK29" s="736">
        <f t="shared" si="7"/>
        <v>80016</v>
      </c>
      <c r="BL29" s="737">
        <f>BK29/BJ29</f>
        <v>0.9264327891629038</v>
      </c>
    </row>
    <row r="30" spans="1:64" ht="27" customHeight="1">
      <c r="A30" s="1442"/>
      <c r="B30" s="58" t="s">
        <v>8</v>
      </c>
      <c r="C30" s="167">
        <v>0</v>
      </c>
      <c r="D30" s="221">
        <v>0</v>
      </c>
      <c r="E30" s="151">
        <v>0</v>
      </c>
      <c r="F30" s="143">
        <v>0</v>
      </c>
      <c r="G30" s="114">
        <v>0</v>
      </c>
      <c r="H30" s="141">
        <v>0</v>
      </c>
      <c r="I30" s="142">
        <v>0</v>
      </c>
      <c r="J30" s="143">
        <v>0</v>
      </c>
      <c r="K30" s="114">
        <v>0</v>
      </c>
      <c r="L30" s="141">
        <v>0</v>
      </c>
      <c r="M30" s="142">
        <v>0</v>
      </c>
      <c r="N30" s="143">
        <v>0</v>
      </c>
      <c r="O30" s="1445"/>
      <c r="P30" s="57" t="s">
        <v>8</v>
      </c>
      <c r="Q30" s="114">
        <v>0</v>
      </c>
      <c r="R30" s="141">
        <v>0</v>
      </c>
      <c r="S30" s="62">
        <v>0</v>
      </c>
      <c r="T30" s="95">
        <v>0</v>
      </c>
      <c r="U30" s="146">
        <v>0</v>
      </c>
      <c r="V30" s="99">
        <v>0</v>
      </c>
      <c r="W30" s="44">
        <v>0</v>
      </c>
      <c r="X30" s="95">
        <v>0</v>
      </c>
      <c r="Y30" s="148">
        <v>0</v>
      </c>
      <c r="Z30" s="216">
        <v>0</v>
      </c>
      <c r="AA30" s="217">
        <v>0</v>
      </c>
      <c r="AB30" s="46">
        <v>0</v>
      </c>
      <c r="AC30" s="16"/>
      <c r="AD30" s="16"/>
      <c r="AE30" s="1438"/>
      <c r="AF30" s="58" t="s">
        <v>8</v>
      </c>
      <c r="AG30" s="148">
        <v>0</v>
      </c>
      <c r="AH30" s="216">
        <v>0</v>
      </c>
      <c r="AI30" s="217">
        <v>0</v>
      </c>
      <c r="AJ30" s="46">
        <v>0</v>
      </c>
      <c r="AK30" s="114">
        <v>0</v>
      </c>
      <c r="AL30" s="90">
        <v>0</v>
      </c>
      <c r="AM30" s="151">
        <v>0</v>
      </c>
      <c r="AN30" s="152">
        <v>0</v>
      </c>
      <c r="AO30" s="114">
        <v>0</v>
      </c>
      <c r="AP30" s="90">
        <v>0</v>
      </c>
      <c r="AQ30" s="142">
        <v>0</v>
      </c>
      <c r="AR30" s="153">
        <v>0</v>
      </c>
      <c r="AS30" s="1416"/>
      <c r="AT30" s="706" t="s">
        <v>8</v>
      </c>
      <c r="AU30" s="155">
        <v>0</v>
      </c>
      <c r="AV30" s="177">
        <v>0</v>
      </c>
      <c r="AW30" s="707">
        <v>0</v>
      </c>
      <c r="AX30" s="708">
        <v>0</v>
      </c>
      <c r="AY30" s="155">
        <v>0</v>
      </c>
      <c r="AZ30" s="177">
        <v>0</v>
      </c>
      <c r="BA30" s="709">
        <v>0</v>
      </c>
      <c r="BB30" s="710">
        <v>0</v>
      </c>
      <c r="BC30" s="711">
        <v>0</v>
      </c>
      <c r="BD30" s="712">
        <v>0</v>
      </c>
      <c r="BE30" s="709">
        <v>584</v>
      </c>
      <c r="BF30" s="713">
        <v>0</v>
      </c>
      <c r="BG30" s="1416"/>
      <c r="BH30" s="706" t="s">
        <v>8</v>
      </c>
      <c r="BI30" s="711">
        <f t="shared" si="7"/>
        <v>0</v>
      </c>
      <c r="BJ30" s="712">
        <f t="shared" si="7"/>
        <v>0</v>
      </c>
      <c r="BK30" s="736">
        <f t="shared" si="7"/>
        <v>584</v>
      </c>
      <c r="BL30" s="737">
        <v>0</v>
      </c>
    </row>
    <row r="31" spans="1:64" ht="27" customHeight="1">
      <c r="A31" s="1442"/>
      <c r="B31" s="58" t="s">
        <v>9</v>
      </c>
      <c r="C31" s="114">
        <v>0</v>
      </c>
      <c r="D31" s="90">
        <v>0</v>
      </c>
      <c r="E31" s="151">
        <v>23</v>
      </c>
      <c r="F31" s="143">
        <v>0</v>
      </c>
      <c r="G31" s="114">
        <v>100</v>
      </c>
      <c r="H31" s="141">
        <v>100</v>
      </c>
      <c r="I31" s="142">
        <v>0</v>
      </c>
      <c r="J31" s="143">
        <f>I31/H31</f>
        <v>0</v>
      </c>
      <c r="K31" s="114">
        <v>0</v>
      </c>
      <c r="L31" s="141">
        <v>0</v>
      </c>
      <c r="M31" s="142">
        <v>0</v>
      </c>
      <c r="N31" s="143">
        <v>0</v>
      </c>
      <c r="O31" s="1445"/>
      <c r="P31" s="57" t="s">
        <v>9</v>
      </c>
      <c r="Q31" s="114">
        <v>250</v>
      </c>
      <c r="R31" s="141">
        <v>250</v>
      </c>
      <c r="S31" s="62">
        <v>74</v>
      </c>
      <c r="T31" s="95">
        <f>S31/R31</f>
        <v>0.296</v>
      </c>
      <c r="U31" s="146">
        <v>100</v>
      </c>
      <c r="V31" s="99">
        <v>100</v>
      </c>
      <c r="W31" s="44">
        <v>21</v>
      </c>
      <c r="X31" s="95">
        <f>W31/V31</f>
        <v>0.21</v>
      </c>
      <c r="Y31" s="148">
        <v>0</v>
      </c>
      <c r="Z31" s="216">
        <v>0</v>
      </c>
      <c r="AA31" s="217">
        <v>0</v>
      </c>
      <c r="AB31" s="46">
        <v>0</v>
      </c>
      <c r="AC31" s="16"/>
      <c r="AD31" s="16"/>
      <c r="AE31" s="1438"/>
      <c r="AF31" s="58" t="s">
        <v>9</v>
      </c>
      <c r="AG31" s="148">
        <v>0</v>
      </c>
      <c r="AH31" s="216">
        <v>0</v>
      </c>
      <c r="AI31" s="217">
        <v>0</v>
      </c>
      <c r="AJ31" s="46">
        <v>0</v>
      </c>
      <c r="AK31" s="114">
        <v>80</v>
      </c>
      <c r="AL31" s="90">
        <v>80</v>
      </c>
      <c r="AM31" s="151">
        <v>23</v>
      </c>
      <c r="AN31" s="152">
        <f>AM31/AL31</f>
        <v>0.2875</v>
      </c>
      <c r="AO31" s="114">
        <v>0</v>
      </c>
      <c r="AP31" s="90">
        <v>0</v>
      </c>
      <c r="AQ31" s="142">
        <v>23</v>
      </c>
      <c r="AR31" s="153">
        <v>0</v>
      </c>
      <c r="AS31" s="1416"/>
      <c r="AT31" s="706" t="s">
        <v>9</v>
      </c>
      <c r="AU31" s="155">
        <v>150</v>
      </c>
      <c r="AV31" s="177">
        <v>150</v>
      </c>
      <c r="AW31" s="707">
        <v>30</v>
      </c>
      <c r="AX31" s="708">
        <f>AW31/AV31</f>
        <v>0.2</v>
      </c>
      <c r="AY31" s="155">
        <v>2</v>
      </c>
      <c r="AZ31" s="177">
        <v>2</v>
      </c>
      <c r="BA31" s="709">
        <v>2</v>
      </c>
      <c r="BB31" s="710">
        <f>BA31/AY31</f>
        <v>1</v>
      </c>
      <c r="BC31" s="711">
        <v>0</v>
      </c>
      <c r="BD31" s="712">
        <v>0</v>
      </c>
      <c r="BE31" s="709">
        <v>5</v>
      </c>
      <c r="BF31" s="713">
        <v>0</v>
      </c>
      <c r="BG31" s="1416"/>
      <c r="BH31" s="706" t="s">
        <v>9</v>
      </c>
      <c r="BI31" s="711">
        <f t="shared" si="7"/>
        <v>682</v>
      </c>
      <c r="BJ31" s="712">
        <f t="shared" si="7"/>
        <v>682</v>
      </c>
      <c r="BK31" s="736">
        <f t="shared" si="7"/>
        <v>201</v>
      </c>
      <c r="BL31" s="737">
        <f>BK31/BJ31</f>
        <v>0.29472140762463345</v>
      </c>
    </row>
    <row r="32" spans="1:64" ht="27" customHeight="1">
      <c r="A32" s="1442"/>
      <c r="B32" s="58" t="s">
        <v>47</v>
      </c>
      <c r="C32" s="114">
        <v>0</v>
      </c>
      <c r="D32" s="90">
        <v>0</v>
      </c>
      <c r="E32" s="151">
        <v>463</v>
      </c>
      <c r="F32" s="143">
        <v>0</v>
      </c>
      <c r="G32" s="114">
        <v>620</v>
      </c>
      <c r="H32" s="141">
        <v>620</v>
      </c>
      <c r="I32" s="142">
        <v>271</v>
      </c>
      <c r="J32" s="143">
        <f>I32/H32</f>
        <v>0.43709677419354837</v>
      </c>
      <c r="K32" s="114">
        <v>400</v>
      </c>
      <c r="L32" s="141">
        <v>400</v>
      </c>
      <c r="M32" s="142">
        <v>2907</v>
      </c>
      <c r="N32" s="143">
        <f>M32/L32</f>
        <v>7.2675</v>
      </c>
      <c r="O32" s="1445"/>
      <c r="P32" s="57" t="s">
        <v>47</v>
      </c>
      <c r="Q32" s="114">
        <v>500</v>
      </c>
      <c r="R32" s="141">
        <v>500</v>
      </c>
      <c r="S32" s="62">
        <v>847</v>
      </c>
      <c r="T32" s="95">
        <f>S32/R32</f>
        <v>1.694</v>
      </c>
      <c r="U32" s="146">
        <v>500</v>
      </c>
      <c r="V32" s="99">
        <v>500</v>
      </c>
      <c r="W32" s="44">
        <v>282</v>
      </c>
      <c r="X32" s="95">
        <f>W32/V32</f>
        <v>0.564</v>
      </c>
      <c r="Y32" s="148">
        <v>0</v>
      </c>
      <c r="Z32" s="216">
        <v>0</v>
      </c>
      <c r="AA32" s="217">
        <v>1</v>
      </c>
      <c r="AB32" s="46">
        <v>0</v>
      </c>
      <c r="AC32" s="16"/>
      <c r="AD32" s="16"/>
      <c r="AE32" s="1438"/>
      <c r="AF32" s="58" t="s">
        <v>47</v>
      </c>
      <c r="AG32" s="148">
        <v>56</v>
      </c>
      <c r="AH32" s="216">
        <v>56</v>
      </c>
      <c r="AI32" s="217">
        <v>36</v>
      </c>
      <c r="AJ32" s="46">
        <f>AI32/AH32</f>
        <v>0.6428571428571429</v>
      </c>
      <c r="AK32" s="114">
        <v>550</v>
      </c>
      <c r="AL32" s="90">
        <v>550</v>
      </c>
      <c r="AM32" s="151">
        <v>10</v>
      </c>
      <c r="AN32" s="152">
        <f>AM32/AL32</f>
        <v>0.01818181818181818</v>
      </c>
      <c r="AO32" s="114">
        <v>0</v>
      </c>
      <c r="AP32" s="90">
        <v>0</v>
      </c>
      <c r="AQ32" s="142">
        <v>440</v>
      </c>
      <c r="AR32" s="153">
        <v>0</v>
      </c>
      <c r="AS32" s="1416"/>
      <c r="AT32" s="706" t="s">
        <v>47</v>
      </c>
      <c r="AU32" s="155">
        <v>25</v>
      </c>
      <c r="AV32" s="177">
        <v>25</v>
      </c>
      <c r="AW32" s="707">
        <v>237</v>
      </c>
      <c r="AX32" s="708">
        <f>AW32/AV32</f>
        <v>9.48</v>
      </c>
      <c r="AY32" s="155">
        <v>0</v>
      </c>
      <c r="AZ32" s="177">
        <v>0</v>
      </c>
      <c r="BA32" s="709">
        <v>0</v>
      </c>
      <c r="BB32" s="710">
        <v>0</v>
      </c>
      <c r="BC32" s="711">
        <v>17</v>
      </c>
      <c r="BD32" s="712">
        <v>17</v>
      </c>
      <c r="BE32" s="709">
        <v>12</v>
      </c>
      <c r="BF32" s="713">
        <f>BE32/BC32</f>
        <v>0.7058823529411765</v>
      </c>
      <c r="BG32" s="1416"/>
      <c r="BH32" s="706" t="s">
        <v>47</v>
      </c>
      <c r="BI32" s="711">
        <f t="shared" si="7"/>
        <v>2668</v>
      </c>
      <c r="BJ32" s="712">
        <f t="shared" si="7"/>
        <v>2668</v>
      </c>
      <c r="BK32" s="736">
        <f t="shared" si="7"/>
        <v>5506</v>
      </c>
      <c r="BL32" s="737">
        <f>BK32/BJ32</f>
        <v>2.0637181409295353</v>
      </c>
    </row>
    <row r="33" spans="1:64" ht="27" customHeight="1">
      <c r="A33" s="1442"/>
      <c r="B33" s="58" t="s">
        <v>45</v>
      </c>
      <c r="C33" s="114">
        <v>0</v>
      </c>
      <c r="D33" s="90">
        <v>0</v>
      </c>
      <c r="E33" s="151">
        <v>0</v>
      </c>
      <c r="F33" s="143">
        <v>0</v>
      </c>
      <c r="G33" s="114">
        <v>0</v>
      </c>
      <c r="H33" s="141">
        <v>0</v>
      </c>
      <c r="I33" s="142">
        <v>0</v>
      </c>
      <c r="J33" s="143">
        <v>0</v>
      </c>
      <c r="K33" s="114">
        <v>0</v>
      </c>
      <c r="L33" s="141">
        <v>0</v>
      </c>
      <c r="M33" s="142">
        <v>0</v>
      </c>
      <c r="N33" s="143">
        <v>0</v>
      </c>
      <c r="O33" s="1445"/>
      <c r="P33" s="57" t="s">
        <v>45</v>
      </c>
      <c r="Q33" s="114">
        <v>0</v>
      </c>
      <c r="R33" s="141">
        <v>0</v>
      </c>
      <c r="S33" s="62">
        <v>0</v>
      </c>
      <c r="T33" s="95">
        <v>0</v>
      </c>
      <c r="U33" s="146">
        <v>0</v>
      </c>
      <c r="V33" s="99">
        <v>0</v>
      </c>
      <c r="W33" s="44">
        <v>0</v>
      </c>
      <c r="X33" s="95">
        <v>0</v>
      </c>
      <c r="Y33" s="148">
        <v>0</v>
      </c>
      <c r="Z33" s="216">
        <v>0</v>
      </c>
      <c r="AA33" s="217">
        <v>0</v>
      </c>
      <c r="AB33" s="46">
        <v>0</v>
      </c>
      <c r="AC33" s="16"/>
      <c r="AD33" s="16"/>
      <c r="AE33" s="1438"/>
      <c r="AF33" s="58" t="s">
        <v>45</v>
      </c>
      <c r="AG33" s="148">
        <v>0</v>
      </c>
      <c r="AH33" s="216">
        <v>0</v>
      </c>
      <c r="AI33" s="217">
        <v>0</v>
      </c>
      <c r="AJ33" s="46">
        <v>0</v>
      </c>
      <c r="AK33" s="114">
        <v>0</v>
      </c>
      <c r="AL33" s="90">
        <v>0</v>
      </c>
      <c r="AM33" s="151">
        <v>0</v>
      </c>
      <c r="AN33" s="152">
        <v>0</v>
      </c>
      <c r="AO33" s="114">
        <v>0</v>
      </c>
      <c r="AP33" s="90">
        <v>0</v>
      </c>
      <c r="AQ33" s="142">
        <v>0</v>
      </c>
      <c r="AR33" s="153">
        <v>0</v>
      </c>
      <c r="AS33" s="1416"/>
      <c r="AT33" s="706" t="s">
        <v>45</v>
      </c>
      <c r="AU33" s="155">
        <v>0</v>
      </c>
      <c r="AV33" s="177">
        <v>0</v>
      </c>
      <c r="AW33" s="707">
        <v>0</v>
      </c>
      <c r="AX33" s="708">
        <v>0</v>
      </c>
      <c r="AY33" s="155">
        <v>0</v>
      </c>
      <c r="AZ33" s="177">
        <v>0</v>
      </c>
      <c r="BA33" s="709">
        <v>0</v>
      </c>
      <c r="BB33" s="710">
        <v>0</v>
      </c>
      <c r="BC33" s="711">
        <v>0</v>
      </c>
      <c r="BD33" s="712">
        <v>0</v>
      </c>
      <c r="BE33" s="709">
        <v>0</v>
      </c>
      <c r="BF33" s="713">
        <v>0</v>
      </c>
      <c r="BG33" s="1416"/>
      <c r="BH33" s="706" t="s">
        <v>45</v>
      </c>
      <c r="BI33" s="711">
        <f t="shared" si="7"/>
        <v>0</v>
      </c>
      <c r="BJ33" s="712">
        <f t="shared" si="7"/>
        <v>0</v>
      </c>
      <c r="BK33" s="736">
        <f t="shared" si="7"/>
        <v>0</v>
      </c>
      <c r="BL33" s="737">
        <v>0</v>
      </c>
    </row>
    <row r="34" spans="1:64" ht="27" customHeight="1">
      <c r="A34" s="1442"/>
      <c r="B34" s="58" t="s">
        <v>461</v>
      </c>
      <c r="C34" s="114">
        <v>0</v>
      </c>
      <c r="D34" s="90">
        <v>0</v>
      </c>
      <c r="E34" s="151">
        <v>0</v>
      </c>
      <c r="F34" s="143">
        <v>0</v>
      </c>
      <c r="G34" s="114">
        <v>0</v>
      </c>
      <c r="H34" s="141">
        <v>0</v>
      </c>
      <c r="I34" s="142">
        <v>0</v>
      </c>
      <c r="J34" s="143">
        <v>0</v>
      </c>
      <c r="K34" s="114">
        <v>0</v>
      </c>
      <c r="L34" s="141">
        <v>0</v>
      </c>
      <c r="M34" s="142">
        <v>0</v>
      </c>
      <c r="N34" s="143">
        <v>0</v>
      </c>
      <c r="O34" s="1445"/>
      <c r="P34" s="58" t="s">
        <v>461</v>
      </c>
      <c r="Q34" s="218">
        <v>0</v>
      </c>
      <c r="R34" s="219">
        <v>0</v>
      </c>
      <c r="S34" s="151">
        <v>0</v>
      </c>
      <c r="T34" s="143">
        <v>0</v>
      </c>
      <c r="U34" s="114">
        <v>0</v>
      </c>
      <c r="V34" s="141">
        <v>0</v>
      </c>
      <c r="W34" s="142">
        <v>0</v>
      </c>
      <c r="X34" s="143">
        <v>0</v>
      </c>
      <c r="Y34" s="114">
        <v>0</v>
      </c>
      <c r="Z34" s="141">
        <v>0</v>
      </c>
      <c r="AA34" s="142">
        <v>0</v>
      </c>
      <c r="AB34" s="143">
        <v>0</v>
      </c>
      <c r="AC34" s="16"/>
      <c r="AD34" s="16"/>
      <c r="AE34" s="1438"/>
      <c r="AF34" s="58" t="s">
        <v>461</v>
      </c>
      <c r="AG34" s="114">
        <v>0</v>
      </c>
      <c r="AH34" s="141">
        <v>0</v>
      </c>
      <c r="AI34" s="142">
        <v>0</v>
      </c>
      <c r="AJ34" s="143">
        <v>0</v>
      </c>
      <c r="AK34" s="218">
        <v>0</v>
      </c>
      <c r="AL34" s="219">
        <v>0</v>
      </c>
      <c r="AM34" s="151">
        <v>0</v>
      </c>
      <c r="AN34" s="143">
        <v>0</v>
      </c>
      <c r="AO34" s="114">
        <v>0</v>
      </c>
      <c r="AP34" s="141">
        <v>0</v>
      </c>
      <c r="AQ34" s="142">
        <v>0</v>
      </c>
      <c r="AR34" s="143">
        <v>0</v>
      </c>
      <c r="AS34" s="1416"/>
      <c r="AT34" s="714" t="s">
        <v>461</v>
      </c>
      <c r="AU34" s="155">
        <v>0</v>
      </c>
      <c r="AV34" s="156">
        <v>0</v>
      </c>
      <c r="AW34" s="707">
        <v>0</v>
      </c>
      <c r="AX34" s="715">
        <v>0</v>
      </c>
      <c r="AY34" s="716">
        <v>0</v>
      </c>
      <c r="AZ34" s="717">
        <v>0</v>
      </c>
      <c r="BA34" s="718">
        <v>0</v>
      </c>
      <c r="BB34" s="715">
        <v>0</v>
      </c>
      <c r="BC34" s="155">
        <v>0</v>
      </c>
      <c r="BD34" s="156">
        <v>0</v>
      </c>
      <c r="BE34" s="707">
        <v>0</v>
      </c>
      <c r="BF34" s="715">
        <v>0</v>
      </c>
      <c r="BG34" s="1416"/>
      <c r="BH34" s="714" t="s">
        <v>461</v>
      </c>
      <c r="BI34" s="711">
        <f t="shared" si="7"/>
        <v>0</v>
      </c>
      <c r="BJ34" s="712">
        <f t="shared" si="7"/>
        <v>0</v>
      </c>
      <c r="BK34" s="736">
        <f t="shared" si="7"/>
        <v>0</v>
      </c>
      <c r="BL34" s="715">
        <v>0</v>
      </c>
    </row>
    <row r="35" spans="1:64" ht="27" customHeight="1">
      <c r="A35" s="1442"/>
      <c r="B35" s="58" t="s">
        <v>228</v>
      </c>
      <c r="C35" s="114">
        <v>0</v>
      </c>
      <c r="D35" s="90">
        <v>0</v>
      </c>
      <c r="E35" s="151">
        <v>0</v>
      </c>
      <c r="F35" s="143">
        <v>0</v>
      </c>
      <c r="G35" s="114">
        <v>0</v>
      </c>
      <c r="H35" s="141">
        <v>0</v>
      </c>
      <c r="I35" s="142">
        <v>0</v>
      </c>
      <c r="J35" s="143">
        <v>0</v>
      </c>
      <c r="K35" s="114">
        <v>0</v>
      </c>
      <c r="L35" s="141">
        <v>0</v>
      </c>
      <c r="M35" s="142">
        <v>0</v>
      </c>
      <c r="N35" s="143">
        <v>0</v>
      </c>
      <c r="O35" s="1445"/>
      <c r="P35" s="57" t="s">
        <v>228</v>
      </c>
      <c r="Q35" s="114">
        <v>0</v>
      </c>
      <c r="R35" s="141">
        <v>0</v>
      </c>
      <c r="S35" s="62">
        <v>0</v>
      </c>
      <c r="T35" s="95">
        <v>0</v>
      </c>
      <c r="U35" s="146">
        <v>0</v>
      </c>
      <c r="V35" s="99">
        <v>0</v>
      </c>
      <c r="W35" s="44">
        <v>0</v>
      </c>
      <c r="X35" s="95">
        <v>0</v>
      </c>
      <c r="Y35" s="148">
        <v>0</v>
      </c>
      <c r="Z35" s="216">
        <v>0</v>
      </c>
      <c r="AA35" s="217">
        <v>0</v>
      </c>
      <c r="AB35" s="46">
        <v>0</v>
      </c>
      <c r="AC35" s="16"/>
      <c r="AD35" s="16"/>
      <c r="AE35" s="1438"/>
      <c r="AF35" s="58" t="s">
        <v>228</v>
      </c>
      <c r="AG35" s="148">
        <v>0</v>
      </c>
      <c r="AH35" s="216">
        <v>0</v>
      </c>
      <c r="AI35" s="217">
        <v>0</v>
      </c>
      <c r="AJ35" s="46">
        <v>0</v>
      </c>
      <c r="AK35" s="114">
        <v>0</v>
      </c>
      <c r="AL35" s="90">
        <v>0</v>
      </c>
      <c r="AM35" s="151">
        <v>0</v>
      </c>
      <c r="AN35" s="152">
        <v>0</v>
      </c>
      <c r="AO35" s="114">
        <v>0</v>
      </c>
      <c r="AP35" s="90">
        <v>0</v>
      </c>
      <c r="AQ35" s="142">
        <v>0</v>
      </c>
      <c r="AR35" s="153">
        <v>0</v>
      </c>
      <c r="AS35" s="1416"/>
      <c r="AT35" s="706" t="s">
        <v>228</v>
      </c>
      <c r="AU35" s="155">
        <v>0</v>
      </c>
      <c r="AV35" s="177">
        <v>0</v>
      </c>
      <c r="AW35" s="707">
        <v>0</v>
      </c>
      <c r="AX35" s="708">
        <v>0</v>
      </c>
      <c r="AY35" s="155">
        <v>0</v>
      </c>
      <c r="AZ35" s="177">
        <v>0</v>
      </c>
      <c r="BA35" s="709">
        <v>0</v>
      </c>
      <c r="BB35" s="710">
        <v>0</v>
      </c>
      <c r="BC35" s="711">
        <v>0</v>
      </c>
      <c r="BD35" s="712">
        <v>0</v>
      </c>
      <c r="BE35" s="709">
        <v>0</v>
      </c>
      <c r="BF35" s="713">
        <v>0</v>
      </c>
      <c r="BG35" s="1416"/>
      <c r="BH35" s="706" t="s">
        <v>228</v>
      </c>
      <c r="BI35" s="711">
        <f t="shared" si="7"/>
        <v>0</v>
      </c>
      <c r="BJ35" s="712">
        <f t="shared" si="7"/>
        <v>0</v>
      </c>
      <c r="BK35" s="736">
        <f t="shared" si="7"/>
        <v>0</v>
      </c>
      <c r="BL35" s="737">
        <v>0</v>
      </c>
    </row>
    <row r="36" spans="1:64" ht="27" customHeight="1">
      <c r="A36" s="1442"/>
      <c r="B36" s="58" t="s">
        <v>10</v>
      </c>
      <c r="C36" s="114">
        <v>0</v>
      </c>
      <c r="D36" s="90">
        <v>0</v>
      </c>
      <c r="E36" s="151">
        <v>0</v>
      </c>
      <c r="F36" s="143">
        <v>0</v>
      </c>
      <c r="G36" s="114">
        <v>1000</v>
      </c>
      <c r="H36" s="141">
        <v>1000</v>
      </c>
      <c r="I36" s="142">
        <v>2030</v>
      </c>
      <c r="J36" s="143">
        <f>I36/H36</f>
        <v>2.03</v>
      </c>
      <c r="K36" s="114">
        <v>1000</v>
      </c>
      <c r="L36" s="141">
        <v>1000</v>
      </c>
      <c r="M36" s="142">
        <v>2513</v>
      </c>
      <c r="N36" s="143">
        <f>M36/L36</f>
        <v>2.513</v>
      </c>
      <c r="O36" s="1445"/>
      <c r="P36" s="57" t="s">
        <v>10</v>
      </c>
      <c r="Q36" s="114">
        <v>3000</v>
      </c>
      <c r="R36" s="141">
        <v>3000</v>
      </c>
      <c r="S36" s="62">
        <v>21456</v>
      </c>
      <c r="T36" s="95">
        <f>S36/R36</f>
        <v>7.152</v>
      </c>
      <c r="U36" s="146">
        <v>500</v>
      </c>
      <c r="V36" s="99">
        <v>500</v>
      </c>
      <c r="W36" s="44">
        <v>7105</v>
      </c>
      <c r="X36" s="95">
        <v>0</v>
      </c>
      <c r="Y36" s="148">
        <v>0</v>
      </c>
      <c r="Z36" s="216">
        <v>0</v>
      </c>
      <c r="AA36" s="217">
        <v>0</v>
      </c>
      <c r="AB36" s="46">
        <v>0</v>
      </c>
      <c r="AC36" s="16"/>
      <c r="AD36" s="16"/>
      <c r="AE36" s="1438"/>
      <c r="AF36" s="58" t="s">
        <v>10</v>
      </c>
      <c r="AG36" s="148">
        <v>0</v>
      </c>
      <c r="AH36" s="216">
        <v>0</v>
      </c>
      <c r="AI36" s="217">
        <v>0</v>
      </c>
      <c r="AJ36" s="46">
        <v>0</v>
      </c>
      <c r="AK36" s="114">
        <v>30</v>
      </c>
      <c r="AL36" s="90">
        <v>30</v>
      </c>
      <c r="AM36" s="151">
        <v>38</v>
      </c>
      <c r="AN36" s="152">
        <f>AM36/AL36</f>
        <v>1.2666666666666666</v>
      </c>
      <c r="AO36" s="114">
        <v>0</v>
      </c>
      <c r="AP36" s="90">
        <v>0</v>
      </c>
      <c r="AQ36" s="142">
        <v>0</v>
      </c>
      <c r="AR36" s="153">
        <v>0</v>
      </c>
      <c r="AS36" s="1416"/>
      <c r="AT36" s="706" t="s">
        <v>10</v>
      </c>
      <c r="AU36" s="155">
        <v>50</v>
      </c>
      <c r="AV36" s="177">
        <v>50</v>
      </c>
      <c r="AW36" s="707">
        <v>71</v>
      </c>
      <c r="AX36" s="708">
        <f>AW36/AV36</f>
        <v>1.42</v>
      </c>
      <c r="AY36" s="155">
        <v>0</v>
      </c>
      <c r="AZ36" s="177">
        <v>0</v>
      </c>
      <c r="BA36" s="709">
        <v>0</v>
      </c>
      <c r="BB36" s="710">
        <v>0</v>
      </c>
      <c r="BC36" s="711">
        <v>0</v>
      </c>
      <c r="BD36" s="712">
        <v>0</v>
      </c>
      <c r="BE36" s="709">
        <v>0</v>
      </c>
      <c r="BF36" s="713">
        <v>0</v>
      </c>
      <c r="BG36" s="1416"/>
      <c r="BH36" s="706" t="s">
        <v>10</v>
      </c>
      <c r="BI36" s="711">
        <f t="shared" si="7"/>
        <v>5580</v>
      </c>
      <c r="BJ36" s="712">
        <f t="shared" si="7"/>
        <v>5580</v>
      </c>
      <c r="BK36" s="736">
        <f t="shared" si="7"/>
        <v>33213</v>
      </c>
      <c r="BL36" s="737">
        <f>BK36/BJ36</f>
        <v>5.952150537634409</v>
      </c>
    </row>
    <row r="37" spans="1:64" ht="27" customHeight="1">
      <c r="A37" s="1442"/>
      <c r="B37" s="58" t="s">
        <v>46</v>
      </c>
      <c r="C37" s="114">
        <v>0</v>
      </c>
      <c r="D37" s="90">
        <v>0</v>
      </c>
      <c r="E37" s="151">
        <v>0</v>
      </c>
      <c r="F37" s="143">
        <v>0</v>
      </c>
      <c r="G37" s="114">
        <v>0</v>
      </c>
      <c r="H37" s="90">
        <v>0</v>
      </c>
      <c r="I37" s="142">
        <v>0</v>
      </c>
      <c r="J37" s="143">
        <v>0</v>
      </c>
      <c r="K37" s="114">
        <v>0</v>
      </c>
      <c r="L37" s="220">
        <v>0</v>
      </c>
      <c r="M37" s="142">
        <v>0</v>
      </c>
      <c r="N37" s="143">
        <v>0</v>
      </c>
      <c r="O37" s="1445"/>
      <c r="P37" s="57" t="s">
        <v>46</v>
      </c>
      <c r="Q37" s="114">
        <v>0</v>
      </c>
      <c r="R37" s="90">
        <v>0</v>
      </c>
      <c r="S37" s="62">
        <v>0</v>
      </c>
      <c r="T37" s="95">
        <v>0</v>
      </c>
      <c r="U37" s="146">
        <v>0</v>
      </c>
      <c r="V37" s="154">
        <v>0</v>
      </c>
      <c r="W37" s="44">
        <v>0</v>
      </c>
      <c r="X37" s="95">
        <v>0</v>
      </c>
      <c r="Y37" s="148">
        <v>0</v>
      </c>
      <c r="Z37" s="216">
        <v>0</v>
      </c>
      <c r="AA37" s="217">
        <v>0</v>
      </c>
      <c r="AB37" s="46">
        <v>0</v>
      </c>
      <c r="AC37" s="16"/>
      <c r="AD37" s="16"/>
      <c r="AE37" s="1438"/>
      <c r="AF37" s="58" t="s">
        <v>46</v>
      </c>
      <c r="AG37" s="148">
        <v>0</v>
      </c>
      <c r="AH37" s="216">
        <v>0</v>
      </c>
      <c r="AI37" s="217">
        <v>0</v>
      </c>
      <c r="AJ37" s="46">
        <v>0</v>
      </c>
      <c r="AK37" s="114">
        <v>0</v>
      </c>
      <c r="AL37" s="90">
        <v>0</v>
      </c>
      <c r="AM37" s="151">
        <v>0</v>
      </c>
      <c r="AN37" s="152">
        <v>0</v>
      </c>
      <c r="AO37" s="114">
        <v>0</v>
      </c>
      <c r="AP37" s="90">
        <v>0</v>
      </c>
      <c r="AQ37" s="142">
        <v>0</v>
      </c>
      <c r="AR37" s="153">
        <v>0</v>
      </c>
      <c r="AS37" s="1416"/>
      <c r="AT37" s="706" t="s">
        <v>46</v>
      </c>
      <c r="AU37" s="155">
        <v>0</v>
      </c>
      <c r="AV37" s="177">
        <v>0</v>
      </c>
      <c r="AW37" s="707">
        <v>0</v>
      </c>
      <c r="AX37" s="708">
        <v>0</v>
      </c>
      <c r="AY37" s="155">
        <v>0</v>
      </c>
      <c r="AZ37" s="177">
        <v>0</v>
      </c>
      <c r="BA37" s="709">
        <v>0</v>
      </c>
      <c r="BB37" s="710">
        <v>0</v>
      </c>
      <c r="BC37" s="711">
        <v>0</v>
      </c>
      <c r="BD37" s="712">
        <v>0</v>
      </c>
      <c r="BE37" s="709">
        <v>0</v>
      </c>
      <c r="BF37" s="713">
        <v>0</v>
      </c>
      <c r="BG37" s="1416"/>
      <c r="BH37" s="706" t="s">
        <v>46</v>
      </c>
      <c r="BI37" s="711">
        <f t="shared" si="7"/>
        <v>0</v>
      </c>
      <c r="BJ37" s="712">
        <f>BD37+AZ37+AV37+AP37+AL37+AH37+L37+H37+D37</f>
        <v>0</v>
      </c>
      <c r="BK37" s="736">
        <f t="shared" si="7"/>
        <v>0</v>
      </c>
      <c r="BL37" s="737">
        <v>0</v>
      </c>
    </row>
    <row r="38" spans="1:64" ht="27" customHeight="1">
      <c r="A38" s="1442"/>
      <c r="B38" s="158" t="s">
        <v>130</v>
      </c>
      <c r="C38" s="258">
        <v>0</v>
      </c>
      <c r="D38" s="259">
        <v>0</v>
      </c>
      <c r="E38" s="385">
        <v>0</v>
      </c>
      <c r="F38" s="386">
        <v>0</v>
      </c>
      <c r="G38" s="258">
        <v>0</v>
      </c>
      <c r="H38" s="259">
        <v>0</v>
      </c>
      <c r="I38" s="385">
        <v>0</v>
      </c>
      <c r="J38" s="386">
        <v>0</v>
      </c>
      <c r="K38" s="258">
        <v>0</v>
      </c>
      <c r="L38" s="387">
        <v>0</v>
      </c>
      <c r="M38" s="385">
        <v>0</v>
      </c>
      <c r="N38" s="386">
        <v>0</v>
      </c>
      <c r="O38" s="1445"/>
      <c r="P38" s="158" t="s">
        <v>130</v>
      </c>
      <c r="Q38" s="165">
        <v>0</v>
      </c>
      <c r="R38" s="91">
        <v>0</v>
      </c>
      <c r="S38" s="127">
        <v>0</v>
      </c>
      <c r="T38" s="394">
        <v>0</v>
      </c>
      <c r="U38" s="258">
        <v>0</v>
      </c>
      <c r="V38" s="259">
        <v>0</v>
      </c>
      <c r="W38" s="398">
        <v>0</v>
      </c>
      <c r="X38" s="394">
        <v>0</v>
      </c>
      <c r="Y38" s="395">
        <v>0</v>
      </c>
      <c r="Z38" s="396">
        <v>0</v>
      </c>
      <c r="AA38" s="397">
        <v>0</v>
      </c>
      <c r="AB38" s="393">
        <v>0</v>
      </c>
      <c r="AC38" s="16"/>
      <c r="AD38" s="16"/>
      <c r="AE38" s="1438"/>
      <c r="AF38" s="158" t="s">
        <v>130</v>
      </c>
      <c r="AG38" s="395">
        <v>0</v>
      </c>
      <c r="AH38" s="396">
        <v>0</v>
      </c>
      <c r="AI38" s="397">
        <v>0</v>
      </c>
      <c r="AJ38" s="393">
        <v>0</v>
      </c>
      <c r="AK38" s="165">
        <v>0</v>
      </c>
      <c r="AL38" s="91">
        <v>0</v>
      </c>
      <c r="AM38" s="385">
        <v>0</v>
      </c>
      <c r="AN38" s="394">
        <v>0</v>
      </c>
      <c r="AO38" s="258">
        <v>0</v>
      </c>
      <c r="AP38" s="259">
        <v>0</v>
      </c>
      <c r="AQ38" s="385">
        <v>0</v>
      </c>
      <c r="AR38" s="393">
        <v>0</v>
      </c>
      <c r="AS38" s="1416"/>
      <c r="AT38" s="719" t="s">
        <v>130</v>
      </c>
      <c r="AU38" s="186">
        <v>0</v>
      </c>
      <c r="AV38" s="187">
        <v>0</v>
      </c>
      <c r="AW38" s="720">
        <v>0</v>
      </c>
      <c r="AX38" s="721">
        <v>0</v>
      </c>
      <c r="AY38" s="159">
        <v>0</v>
      </c>
      <c r="AZ38" s="160">
        <v>0</v>
      </c>
      <c r="BA38" s="722">
        <v>0</v>
      </c>
      <c r="BB38" s="723">
        <v>0</v>
      </c>
      <c r="BC38" s="186">
        <v>0</v>
      </c>
      <c r="BD38" s="187">
        <v>0</v>
      </c>
      <c r="BE38" s="720">
        <v>0</v>
      </c>
      <c r="BF38" s="721">
        <v>0</v>
      </c>
      <c r="BG38" s="1416"/>
      <c r="BH38" s="719" t="s">
        <v>130</v>
      </c>
      <c r="BI38" s="711">
        <f t="shared" si="7"/>
        <v>0</v>
      </c>
      <c r="BJ38" s="738">
        <f>BD38+AZ38+AV38+AP38+AL38+AH38+L38+H38+D38</f>
        <v>0</v>
      </c>
      <c r="BK38" s="736">
        <f t="shared" si="7"/>
        <v>0</v>
      </c>
      <c r="BL38" s="739">
        <v>0</v>
      </c>
    </row>
    <row r="39" spans="1:64" ht="27" customHeight="1">
      <c r="A39" s="1442"/>
      <c r="B39" s="384" t="s">
        <v>476</v>
      </c>
      <c r="C39" s="388">
        <v>0</v>
      </c>
      <c r="D39" s="389">
        <v>0</v>
      </c>
      <c r="E39" s="390">
        <v>0</v>
      </c>
      <c r="F39" s="391">
        <v>0</v>
      </c>
      <c r="G39" s="388">
        <v>0</v>
      </c>
      <c r="H39" s="389">
        <v>0</v>
      </c>
      <c r="I39" s="390">
        <v>0</v>
      </c>
      <c r="J39" s="391">
        <v>0</v>
      </c>
      <c r="K39" s="388">
        <v>0</v>
      </c>
      <c r="L39" s="392">
        <v>0</v>
      </c>
      <c r="M39" s="390">
        <v>0</v>
      </c>
      <c r="N39" s="391">
        <v>0</v>
      </c>
      <c r="O39" s="1445"/>
      <c r="P39" s="384" t="s">
        <v>476</v>
      </c>
      <c r="Q39" s="388">
        <v>0</v>
      </c>
      <c r="R39" s="389">
        <v>0</v>
      </c>
      <c r="S39" s="390">
        <v>0</v>
      </c>
      <c r="T39" s="391">
        <v>0</v>
      </c>
      <c r="U39" s="388">
        <v>0</v>
      </c>
      <c r="V39" s="389">
        <v>0</v>
      </c>
      <c r="W39" s="390">
        <v>0</v>
      </c>
      <c r="X39" s="391">
        <v>0</v>
      </c>
      <c r="Y39" s="388">
        <v>0</v>
      </c>
      <c r="Z39" s="392">
        <v>0</v>
      </c>
      <c r="AA39" s="390">
        <v>0</v>
      </c>
      <c r="AB39" s="391">
        <v>0</v>
      </c>
      <c r="AC39" s="16"/>
      <c r="AD39" s="16"/>
      <c r="AE39" s="1438"/>
      <c r="AF39" s="384" t="s">
        <v>476</v>
      </c>
      <c r="AG39" s="388">
        <v>0</v>
      </c>
      <c r="AH39" s="389">
        <v>0</v>
      </c>
      <c r="AI39" s="390">
        <v>0</v>
      </c>
      <c r="AJ39" s="391">
        <v>0</v>
      </c>
      <c r="AK39" s="388">
        <v>0</v>
      </c>
      <c r="AL39" s="389">
        <v>0</v>
      </c>
      <c r="AM39" s="390">
        <v>0</v>
      </c>
      <c r="AN39" s="391">
        <v>0</v>
      </c>
      <c r="AO39" s="388">
        <v>0</v>
      </c>
      <c r="AP39" s="392">
        <v>0</v>
      </c>
      <c r="AQ39" s="390">
        <v>0</v>
      </c>
      <c r="AR39" s="391">
        <v>0</v>
      </c>
      <c r="AS39" s="1416"/>
      <c r="AT39" s="724" t="s">
        <v>476</v>
      </c>
      <c r="AU39" s="725">
        <v>0</v>
      </c>
      <c r="AV39" s="726">
        <v>0</v>
      </c>
      <c r="AW39" s="727">
        <v>0</v>
      </c>
      <c r="AX39" s="728">
        <v>0</v>
      </c>
      <c r="AY39" s="725">
        <v>0</v>
      </c>
      <c r="AZ39" s="726">
        <v>0</v>
      </c>
      <c r="BA39" s="727">
        <v>0</v>
      </c>
      <c r="BB39" s="728">
        <v>0</v>
      </c>
      <c r="BC39" s="725">
        <v>0</v>
      </c>
      <c r="BD39" s="729">
        <v>0</v>
      </c>
      <c r="BE39" s="727">
        <v>0</v>
      </c>
      <c r="BF39" s="728">
        <v>0</v>
      </c>
      <c r="BG39" s="1416"/>
      <c r="BH39" s="724" t="s">
        <v>476</v>
      </c>
      <c r="BI39" s="186">
        <v>0</v>
      </c>
      <c r="BJ39" s="740">
        <v>0</v>
      </c>
      <c r="BK39" s="741">
        <v>0</v>
      </c>
      <c r="BL39" s="739">
        <v>0</v>
      </c>
    </row>
    <row r="40" spans="1:64" ht="36.75" customHeight="1">
      <c r="A40" s="1442"/>
      <c r="B40" s="9" t="s">
        <v>42</v>
      </c>
      <c r="C40" s="117">
        <f>SUM(C28:C39)</f>
        <v>2718</v>
      </c>
      <c r="D40" s="207">
        <f>SUM(D28:D39)</f>
        <v>2718</v>
      </c>
      <c r="E40" s="48">
        <f>SUM(E28:E39)</f>
        <v>2583</v>
      </c>
      <c r="F40" s="205">
        <f>E40/D40</f>
        <v>0.9503311258278145</v>
      </c>
      <c r="G40" s="117">
        <f>SUM(G28:G39)</f>
        <v>9820</v>
      </c>
      <c r="H40" s="207">
        <f>SUM(H28:H39)</f>
        <v>9820</v>
      </c>
      <c r="I40" s="48">
        <f>SUM(I28:I39)</f>
        <v>11179</v>
      </c>
      <c r="J40" s="205">
        <f>I40/H40</f>
        <v>1.1383910386965377</v>
      </c>
      <c r="K40" s="222">
        <f>SUM(K28:K39)</f>
        <v>45400</v>
      </c>
      <c r="L40" s="223">
        <f>SUM(L28:L39)</f>
        <v>45400</v>
      </c>
      <c r="M40" s="48">
        <f>SUM(M28:M39)</f>
        <v>46858</v>
      </c>
      <c r="N40" s="205">
        <f>M40/L40</f>
        <v>1.0321145374449339</v>
      </c>
      <c r="O40" s="1446"/>
      <c r="P40" s="8" t="s">
        <v>42</v>
      </c>
      <c r="Q40" s="222">
        <f>SUM(Q28:Q38)</f>
        <v>33050</v>
      </c>
      <c r="R40" s="224">
        <f>SUM(R28:R38)</f>
        <v>37550</v>
      </c>
      <c r="S40" s="60">
        <f>SUM(S28:S38)</f>
        <v>60258</v>
      </c>
      <c r="T40" s="208">
        <f>S40/R40</f>
        <v>1.60474034620506</v>
      </c>
      <c r="U40" s="222">
        <f>SUM(U28:U38)</f>
        <v>9600</v>
      </c>
      <c r="V40" s="224">
        <f>SUM(V28:V38)</f>
        <v>9600</v>
      </c>
      <c r="W40" s="60">
        <f>SUM(W28:W38)</f>
        <v>15995</v>
      </c>
      <c r="X40" s="208">
        <f>W40/V40</f>
        <v>1.6661458333333334</v>
      </c>
      <c r="Y40" s="222">
        <f>SUM(Y28:Y38)</f>
        <v>1361.3</v>
      </c>
      <c r="Z40" s="224">
        <f>SUM(Z28:Z38)</f>
        <v>360</v>
      </c>
      <c r="AA40" s="60">
        <f>SUM(AA28:AA38)</f>
        <v>375</v>
      </c>
      <c r="AB40" s="205">
        <f>AA40/Z40</f>
        <v>1.0416666666666667</v>
      </c>
      <c r="AC40" s="16"/>
      <c r="AD40" s="16"/>
      <c r="AE40" s="1439"/>
      <c r="AF40" s="6" t="s">
        <v>42</v>
      </c>
      <c r="AG40" s="222">
        <f>SUM(AG28:AG38)</f>
        <v>1100</v>
      </c>
      <c r="AH40" s="224">
        <f>SUM(AH28:AH38)</f>
        <v>1100</v>
      </c>
      <c r="AI40" s="60">
        <f>SUM(AI28:AI38)</f>
        <v>935</v>
      </c>
      <c r="AJ40" s="205">
        <f>AI40/AH40</f>
        <v>0.85</v>
      </c>
      <c r="AK40" s="117">
        <f>SUM(AK28:AK38)</f>
        <v>12160</v>
      </c>
      <c r="AL40" s="207">
        <f>SUM(AL28:AL38)</f>
        <v>12160</v>
      </c>
      <c r="AM40" s="48">
        <f>SUM(AM28:AM38)</f>
        <v>10594</v>
      </c>
      <c r="AN40" s="208">
        <f>AM40/AL40</f>
        <v>0.8712171052631579</v>
      </c>
      <c r="AO40" s="117">
        <f>SUM(AO28:AO38)</f>
        <v>1022</v>
      </c>
      <c r="AP40" s="207">
        <f>SUM(AP28:AP38)</f>
        <v>1022</v>
      </c>
      <c r="AQ40" s="48">
        <f>SUM(AQ28:AQ38)</f>
        <v>1958</v>
      </c>
      <c r="AR40" s="205">
        <f>AQ40/AP40</f>
        <v>1.9158512720156555</v>
      </c>
      <c r="AS40" s="1417"/>
      <c r="AT40" s="730" t="s">
        <v>42</v>
      </c>
      <c r="AU40" s="222">
        <f>SUM(AU28:AU38)</f>
        <v>21280</v>
      </c>
      <c r="AV40" s="224">
        <f>SUM(AV28:AV38)</f>
        <v>21280</v>
      </c>
      <c r="AW40" s="225">
        <f>SUM(AW28:AW38)</f>
        <v>17025</v>
      </c>
      <c r="AX40" s="731">
        <f>AW40/AV40</f>
        <v>0.800046992481203</v>
      </c>
      <c r="AY40" s="222">
        <f>SUM(AY28:AY38)</f>
        <v>39</v>
      </c>
      <c r="AZ40" s="224">
        <f>SUM(AZ28:AZ38)</f>
        <v>39</v>
      </c>
      <c r="BA40" s="696">
        <f>SUM(BA28:BA38)</f>
        <v>39</v>
      </c>
      <c r="BB40" s="732">
        <f>BA40/AZ40</f>
        <v>1</v>
      </c>
      <c r="BC40" s="222">
        <f>SUM(BC28:BC38)</f>
        <v>1818</v>
      </c>
      <c r="BD40" s="224">
        <f>SUM(BD28:BD38)</f>
        <v>1818</v>
      </c>
      <c r="BE40" s="696">
        <f>SUM(BE28:BE38)</f>
        <v>1880</v>
      </c>
      <c r="BF40" s="731">
        <f>BE40/BD40</f>
        <v>1.034103410341034</v>
      </c>
      <c r="BG40" s="1417"/>
      <c r="BH40" s="730" t="s">
        <v>42</v>
      </c>
      <c r="BI40" s="742">
        <f>SUM(BI28:BI38)</f>
        <v>139368.3</v>
      </c>
      <c r="BJ40" s="743">
        <f>SUM(BJ28:BJ36)</f>
        <v>142867</v>
      </c>
      <c r="BK40" s="204">
        <f>BE40+BA40+AW40+AQ40+AM40+AI40+M40+I40+E40+AA40+W40+S40</f>
        <v>169679</v>
      </c>
      <c r="BL40" s="744">
        <f>BK40/BJ40</f>
        <v>1.187671050697502</v>
      </c>
    </row>
    <row r="41" spans="1:64" ht="58.5" customHeight="1">
      <c r="A41" s="1443" t="s">
        <v>41</v>
      </c>
      <c r="B41" s="1444"/>
      <c r="C41" s="684">
        <f>C40-C27</f>
        <v>-6051</v>
      </c>
      <c r="D41" s="1121">
        <f>D40-D27</f>
        <v>-275.5</v>
      </c>
      <c r="E41" s="1122">
        <f>E40-E27</f>
        <v>1807</v>
      </c>
      <c r="F41" s="1123">
        <v>0</v>
      </c>
      <c r="G41" s="1124">
        <f>G40-G27</f>
        <v>2303</v>
      </c>
      <c r="H41" s="1125">
        <f>H40-H27</f>
        <v>1133</v>
      </c>
      <c r="I41" s="1126">
        <f>I40-I27</f>
        <v>4578</v>
      </c>
      <c r="J41" s="1123">
        <f>I41/G41</f>
        <v>1.987841945288754</v>
      </c>
      <c r="K41" s="1124">
        <f>K40-K27</f>
        <v>25060</v>
      </c>
      <c r="L41" s="1127">
        <f>L40-L27</f>
        <v>24810</v>
      </c>
      <c r="M41" s="1126">
        <f>M40-M27</f>
        <v>29998</v>
      </c>
      <c r="N41" s="1123">
        <f>M41/K41</f>
        <v>1.197047086991221</v>
      </c>
      <c r="O41" s="1447" t="s">
        <v>41</v>
      </c>
      <c r="P41" s="1448"/>
      <c r="Q41" s="1124">
        <f>Q40-Q27</f>
        <v>2310</v>
      </c>
      <c r="R41" s="1125">
        <f>R40-R27</f>
        <v>-1720</v>
      </c>
      <c r="S41" s="1126">
        <f>S40-S27</f>
        <v>16321</v>
      </c>
      <c r="T41" s="1128">
        <v>0</v>
      </c>
      <c r="U41" s="1124">
        <f>U40-U27</f>
        <v>-2115</v>
      </c>
      <c r="V41" s="1125">
        <f>V40-V27</f>
        <v>-7955</v>
      </c>
      <c r="W41" s="1126">
        <f>W40-W27</f>
        <v>1975</v>
      </c>
      <c r="X41" s="1128">
        <v>0</v>
      </c>
      <c r="Y41" s="1124">
        <f>Y40-Y27</f>
        <v>1361.3</v>
      </c>
      <c r="Z41" s="1125">
        <f>Z40-Z27</f>
        <v>-690</v>
      </c>
      <c r="AA41" s="1122">
        <f>AA40-AA27</f>
        <v>171</v>
      </c>
      <c r="AB41" s="1123">
        <v>0</v>
      </c>
      <c r="AC41" s="1129"/>
      <c r="AD41" s="1129"/>
      <c r="AE41" s="1449" t="s">
        <v>41</v>
      </c>
      <c r="AF41" s="1450"/>
      <c r="AG41" s="1124">
        <f>AG40-AG27</f>
        <v>-2930.3</v>
      </c>
      <c r="AH41" s="1125">
        <f>AH40-AH27</f>
        <v>-2930.3</v>
      </c>
      <c r="AI41" s="1122">
        <f>AI40-AI27</f>
        <v>-948</v>
      </c>
      <c r="AJ41" s="1123">
        <v>0</v>
      </c>
      <c r="AK41" s="1124">
        <f>AK40-AK27</f>
        <v>9564</v>
      </c>
      <c r="AL41" s="1125">
        <f>AL40-AL27</f>
        <v>6964</v>
      </c>
      <c r="AM41" s="1126">
        <f>AM40-AM27</f>
        <v>7004</v>
      </c>
      <c r="AN41" s="1128">
        <f>AM41/AK41</f>
        <v>0.7323295692179005</v>
      </c>
      <c r="AO41" s="1124">
        <f>AO40-AO27</f>
        <v>-3008</v>
      </c>
      <c r="AP41" s="1125">
        <f>AP40-AP27</f>
        <v>-3008</v>
      </c>
      <c r="AQ41" s="1126">
        <f>AQ40-AQ27</f>
        <v>1334</v>
      </c>
      <c r="AR41" s="1123">
        <v>0</v>
      </c>
      <c r="AS41" s="1418" t="s">
        <v>41</v>
      </c>
      <c r="AT41" s="1419"/>
      <c r="AU41" s="1124">
        <f>AU40-AU27</f>
        <v>3571</v>
      </c>
      <c r="AV41" s="1125">
        <f>AV40-AV27</f>
        <v>1707</v>
      </c>
      <c r="AW41" s="1126">
        <f>AW40-AW27</f>
        <v>936</v>
      </c>
      <c r="AX41" s="1123">
        <f>AW41/AU41</f>
        <v>0.26211145337440495</v>
      </c>
      <c r="AY41" s="1124">
        <f>AY40-AY27</f>
        <v>-3262</v>
      </c>
      <c r="AZ41" s="1125">
        <f>AZ40-AZ27</f>
        <v>-5591.700000000001</v>
      </c>
      <c r="BA41" s="1126">
        <f>BA40-BA27</f>
        <v>-5797</v>
      </c>
      <c r="BB41" s="1128">
        <v>0</v>
      </c>
      <c r="BC41" s="1124">
        <f>BC40-BC27</f>
        <v>-1457</v>
      </c>
      <c r="BD41" s="1125">
        <f>BD40-BD27</f>
        <v>-3732.5</v>
      </c>
      <c r="BE41" s="1126">
        <f>BE40-BE27</f>
        <v>-2335</v>
      </c>
      <c r="BF41" s="1123">
        <v>0</v>
      </c>
      <c r="BG41" s="1440" t="s">
        <v>41</v>
      </c>
      <c r="BH41" s="1441"/>
      <c r="BI41" s="203">
        <f>BI40-BI27</f>
        <v>25345.999999999985</v>
      </c>
      <c r="BJ41" s="204">
        <f>BJ40-BJ27</f>
        <v>8711</v>
      </c>
      <c r="BK41" s="204">
        <f>BK40-BK27</f>
        <v>55044</v>
      </c>
      <c r="BL41" s="745">
        <f>BK41/BI41</f>
        <v>2.171703621873275</v>
      </c>
    </row>
    <row r="42" spans="1:25" ht="12.75">
      <c r="A42" s="1"/>
      <c r="B42" s="110"/>
      <c r="C42" s="1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ht="12.75">
      <c r="B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ht="12.75">
      <c r="B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10"/>
      <c r="Q52" s="3"/>
      <c r="R52" s="3"/>
      <c r="S52" s="3"/>
      <c r="T52" s="3"/>
      <c r="U52" s="3"/>
      <c r="V52" s="3"/>
      <c r="W52" s="3"/>
      <c r="X52" s="3"/>
      <c r="Y52" s="3"/>
    </row>
    <row r="53" spans="2:25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</sheetData>
  <sheetProtection/>
  <mergeCells count="69">
    <mergeCell ref="J4:J10"/>
    <mergeCell ref="K4:L10"/>
    <mergeCell ref="G4:H10"/>
    <mergeCell ref="BG4:BG10"/>
    <mergeCell ref="A1:L1"/>
    <mergeCell ref="M1:N1"/>
    <mergeCell ref="U2:X2"/>
    <mergeCell ref="N4:N10"/>
    <mergeCell ref="A2:B3"/>
    <mergeCell ref="AA1:AB1"/>
    <mergeCell ref="A11:A27"/>
    <mergeCell ref="AG4:AH10"/>
    <mergeCell ref="O11:O27"/>
    <mergeCell ref="AK4:AL10"/>
    <mergeCell ref="Q4:R10"/>
    <mergeCell ref="T4:T10"/>
    <mergeCell ref="X4:X10"/>
    <mergeCell ref="AJ4:AJ10"/>
    <mergeCell ref="A4:A10"/>
    <mergeCell ref="O4:O10"/>
    <mergeCell ref="AQ1:AR1"/>
    <mergeCell ref="U4:V10"/>
    <mergeCell ref="O2:P3"/>
    <mergeCell ref="C4:D10"/>
    <mergeCell ref="F4:F10"/>
    <mergeCell ref="C2:F2"/>
    <mergeCell ref="G2:J2"/>
    <mergeCell ref="K2:N2"/>
    <mergeCell ref="Q2:T2"/>
    <mergeCell ref="Y2:AB2"/>
    <mergeCell ref="AE2:AF3"/>
    <mergeCell ref="AO2:AR2"/>
    <mergeCell ref="AS2:AT3"/>
    <mergeCell ref="AU2:AX2"/>
    <mergeCell ref="AG2:AJ2"/>
    <mergeCell ref="AK2:AN2"/>
    <mergeCell ref="BB4:BB10"/>
    <mergeCell ref="AE11:AE27"/>
    <mergeCell ref="AS11:AS27"/>
    <mergeCell ref="AN4:AN10"/>
    <mergeCell ref="AE4:AE10"/>
    <mergeCell ref="AS4:AS10"/>
    <mergeCell ref="AU4:AV10"/>
    <mergeCell ref="BE1:BF1"/>
    <mergeCell ref="AS1:BD1"/>
    <mergeCell ref="AE1:AP1"/>
    <mergeCell ref="O1:Z1"/>
    <mergeCell ref="AX4:AX10"/>
    <mergeCell ref="AY4:AZ10"/>
    <mergeCell ref="AY2:BB2"/>
    <mergeCell ref="BC2:BF2"/>
    <mergeCell ref="Y4:Z10"/>
    <mergeCell ref="AB4:AB10"/>
    <mergeCell ref="A28:A40"/>
    <mergeCell ref="A41:B41"/>
    <mergeCell ref="O28:O40"/>
    <mergeCell ref="O41:P41"/>
    <mergeCell ref="AE28:AE40"/>
    <mergeCell ref="AE41:AF41"/>
    <mergeCell ref="AS28:AS40"/>
    <mergeCell ref="AS41:AT41"/>
    <mergeCell ref="BG1:BK1"/>
    <mergeCell ref="BG2:BH3"/>
    <mergeCell ref="BI2:BL2"/>
    <mergeCell ref="BI4:BJ10"/>
    <mergeCell ref="BL4:BL10"/>
    <mergeCell ref="BG11:BG27"/>
    <mergeCell ref="BG28:BG40"/>
    <mergeCell ref="BG41:BH41"/>
  </mergeCells>
  <printOptions/>
  <pageMargins left="0.4724409448818898" right="0.4330708661417323" top="0.6692913385826772" bottom="0.2755905511811024" header="0.1968503937007874" footer="0.15748031496062992"/>
  <pageSetup horizontalDpi="600" verticalDpi="600" orientation="portrait" paperSize="9" scale="54" r:id="rId1"/>
  <headerFooter>
    <oddFooter>&amp;LZávěrečný účet za rok 2018</oddFooter>
  </headerFooter>
  <colBreaks count="3" manualBreakCount="3">
    <brk id="14" max="65535" man="1"/>
    <brk id="30" max="40" man="1"/>
    <brk id="4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49"/>
  <sheetViews>
    <sheetView view="pageBreakPreview" zoomScale="55" zoomScaleSheetLayoutView="55" workbookViewId="0" topLeftCell="A1">
      <selection activeCell="T32" sqref="T32"/>
    </sheetView>
  </sheetViews>
  <sheetFormatPr defaultColWidth="15.375" defaultRowHeight="12.75"/>
  <cols>
    <col min="1" max="1" width="3.375" style="2" customWidth="1"/>
    <col min="2" max="2" width="63.25390625" style="2" customWidth="1"/>
    <col min="3" max="4" width="20.00390625" style="2" customWidth="1"/>
    <col min="5" max="5" width="21.25390625" style="2" customWidth="1"/>
    <col min="6" max="6" width="17.875" style="2" customWidth="1"/>
    <col min="7" max="7" width="17.75390625" style="2" customWidth="1"/>
    <col min="8" max="8" width="18.125" style="2" customWidth="1"/>
    <col min="9" max="9" width="17.375" style="2" customWidth="1"/>
    <col min="10" max="10" width="18.125" style="2" customWidth="1"/>
    <col min="11" max="11" width="19.875" style="2" customWidth="1"/>
    <col min="12" max="12" width="23.25390625" style="2" customWidth="1"/>
    <col min="13" max="13" width="22.375" style="2" customWidth="1"/>
    <col min="14" max="14" width="17.75390625" style="2" customWidth="1"/>
    <col min="15" max="15" width="19.00390625" style="2" customWidth="1"/>
    <col min="16" max="17" width="22.25390625" style="2" customWidth="1"/>
    <col min="18" max="18" width="17.875" style="2" customWidth="1"/>
    <col min="19" max="19" width="0.12890625" style="2" customWidth="1"/>
    <col min="20" max="16384" width="15.375" style="2" customWidth="1"/>
  </cols>
  <sheetData>
    <row r="1" spans="1:18" ht="82.5" customHeight="1">
      <c r="A1" s="1527" t="s">
        <v>736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  <c r="O1" s="1527"/>
      <c r="P1" s="1527"/>
      <c r="Q1" s="1527"/>
      <c r="R1" s="256" t="s">
        <v>740</v>
      </c>
    </row>
    <row r="2" spans="1:19" ht="35.25" customHeight="1">
      <c r="A2" s="1519" t="s">
        <v>26</v>
      </c>
      <c r="B2" s="1520"/>
      <c r="C2" s="1528" t="s">
        <v>172</v>
      </c>
      <c r="D2" s="1529"/>
      <c r="E2" s="1529"/>
      <c r="F2" s="1530"/>
      <c r="G2" s="1521" t="s">
        <v>99</v>
      </c>
      <c r="H2" s="1522"/>
      <c r="I2" s="1522"/>
      <c r="J2" s="1523"/>
      <c r="K2" s="1524" t="s">
        <v>233</v>
      </c>
      <c r="L2" s="1525"/>
      <c r="M2" s="1525"/>
      <c r="N2" s="1526"/>
      <c r="O2" s="1524" t="s">
        <v>229</v>
      </c>
      <c r="P2" s="1525"/>
      <c r="Q2" s="1525"/>
      <c r="R2" s="1526"/>
      <c r="S2" s="10"/>
    </row>
    <row r="3" spans="1:19" ht="37.5" customHeight="1">
      <c r="A3" s="1520"/>
      <c r="B3" s="1520"/>
      <c r="C3" s="1130" t="s">
        <v>27</v>
      </c>
      <c r="D3" s="1131" t="s">
        <v>28</v>
      </c>
      <c r="E3" s="1131" t="s">
        <v>29</v>
      </c>
      <c r="F3" s="1133" t="s">
        <v>30</v>
      </c>
      <c r="G3" s="1130" t="s">
        <v>27</v>
      </c>
      <c r="H3" s="1131" t="s">
        <v>28</v>
      </c>
      <c r="I3" s="1131" t="s">
        <v>29</v>
      </c>
      <c r="J3" s="1133" t="s">
        <v>30</v>
      </c>
      <c r="K3" s="1130" t="s">
        <v>27</v>
      </c>
      <c r="L3" s="1131" t="s">
        <v>28</v>
      </c>
      <c r="M3" s="1131" t="s">
        <v>29</v>
      </c>
      <c r="N3" s="1133" t="s">
        <v>30</v>
      </c>
      <c r="O3" s="1130" t="s">
        <v>27</v>
      </c>
      <c r="P3" s="1131" t="s">
        <v>28</v>
      </c>
      <c r="Q3" s="1131" t="s">
        <v>29</v>
      </c>
      <c r="R3" s="1133" t="s">
        <v>31</v>
      </c>
      <c r="S3" s="10"/>
    </row>
    <row r="4" spans="1:19" ht="39.75" customHeight="1">
      <c r="A4" s="1516" t="s">
        <v>38</v>
      </c>
      <c r="B4" s="65" t="s">
        <v>49</v>
      </c>
      <c r="C4" s="226">
        <v>15000</v>
      </c>
      <c r="D4" s="227">
        <v>8000</v>
      </c>
      <c r="E4" s="71">
        <v>7479</v>
      </c>
      <c r="F4" s="72">
        <f>E4/D4</f>
        <v>0.934875</v>
      </c>
      <c r="G4" s="226">
        <v>0</v>
      </c>
      <c r="H4" s="228">
        <v>0</v>
      </c>
      <c r="I4" s="71">
        <v>0</v>
      </c>
      <c r="J4" s="72">
        <v>0</v>
      </c>
      <c r="K4" s="246">
        <v>0</v>
      </c>
      <c r="L4" s="247">
        <v>0</v>
      </c>
      <c r="M4" s="102">
        <v>0</v>
      </c>
      <c r="N4" s="103">
        <v>0</v>
      </c>
      <c r="O4" s="226">
        <v>0</v>
      </c>
      <c r="P4" s="228">
        <v>0</v>
      </c>
      <c r="Q4" s="71">
        <v>0</v>
      </c>
      <c r="R4" s="72">
        <v>0</v>
      </c>
      <c r="S4" s="10"/>
    </row>
    <row r="5" spans="1:19" ht="39.75" customHeight="1">
      <c r="A5" s="1517"/>
      <c r="B5" s="66" t="s">
        <v>50</v>
      </c>
      <c r="C5" s="229">
        <v>3000</v>
      </c>
      <c r="D5" s="230">
        <v>700</v>
      </c>
      <c r="E5" s="68">
        <v>245</v>
      </c>
      <c r="F5" s="72">
        <f>E5/D5</f>
        <v>0.35</v>
      </c>
      <c r="G5" s="229">
        <v>0</v>
      </c>
      <c r="H5" s="231">
        <v>0</v>
      </c>
      <c r="I5" s="71">
        <v>0</v>
      </c>
      <c r="J5" s="72">
        <v>0</v>
      </c>
      <c r="K5" s="104">
        <v>0</v>
      </c>
      <c r="L5" s="248">
        <v>0</v>
      </c>
      <c r="M5" s="105">
        <v>0</v>
      </c>
      <c r="N5" s="106">
        <v>0</v>
      </c>
      <c r="O5" s="232">
        <v>0</v>
      </c>
      <c r="P5" s="228">
        <v>0</v>
      </c>
      <c r="Q5" s="68">
        <v>0</v>
      </c>
      <c r="R5" s="69">
        <v>0</v>
      </c>
      <c r="S5" s="10"/>
    </row>
    <row r="6" spans="1:19" ht="39.75" customHeight="1">
      <c r="A6" s="1517"/>
      <c r="B6" s="67" t="s">
        <v>43</v>
      </c>
      <c r="C6" s="229">
        <v>1200</v>
      </c>
      <c r="D6" s="230">
        <v>1200</v>
      </c>
      <c r="E6" s="68">
        <v>1217</v>
      </c>
      <c r="F6" s="72">
        <f aca="true" t="shared" si="0" ref="F6:F13">E6/D6</f>
        <v>1.0141666666666667</v>
      </c>
      <c r="G6" s="229">
        <v>0</v>
      </c>
      <c r="H6" s="231">
        <v>0</v>
      </c>
      <c r="I6" s="71">
        <v>0</v>
      </c>
      <c r="J6" s="72">
        <v>0</v>
      </c>
      <c r="K6" s="104">
        <v>0</v>
      </c>
      <c r="L6" s="248">
        <v>0</v>
      </c>
      <c r="M6" s="105">
        <v>0</v>
      </c>
      <c r="N6" s="106">
        <v>0</v>
      </c>
      <c r="O6" s="232">
        <v>0</v>
      </c>
      <c r="P6" s="228">
        <v>0</v>
      </c>
      <c r="Q6" s="68">
        <v>0</v>
      </c>
      <c r="R6" s="69">
        <v>0</v>
      </c>
      <c r="S6" s="10"/>
    </row>
    <row r="7" spans="1:19" ht="39.75" customHeight="1">
      <c r="A7" s="1517"/>
      <c r="B7" s="66" t="s">
        <v>11</v>
      </c>
      <c r="C7" s="229">
        <v>2000</v>
      </c>
      <c r="D7" s="230">
        <v>600</v>
      </c>
      <c r="E7" s="68">
        <v>142</v>
      </c>
      <c r="F7" s="72">
        <f t="shared" si="0"/>
        <v>0.23666666666666666</v>
      </c>
      <c r="G7" s="229">
        <v>0</v>
      </c>
      <c r="H7" s="231">
        <v>0</v>
      </c>
      <c r="I7" s="71">
        <v>0</v>
      </c>
      <c r="J7" s="72">
        <v>0</v>
      </c>
      <c r="K7" s="104">
        <v>0</v>
      </c>
      <c r="L7" s="248">
        <v>0</v>
      </c>
      <c r="M7" s="105">
        <v>0</v>
      </c>
      <c r="N7" s="106">
        <v>0</v>
      </c>
      <c r="O7" s="232">
        <v>0</v>
      </c>
      <c r="P7" s="228">
        <v>0</v>
      </c>
      <c r="Q7" s="68">
        <v>0</v>
      </c>
      <c r="R7" s="69">
        <v>0</v>
      </c>
      <c r="S7" s="10"/>
    </row>
    <row r="8" spans="1:19" ht="39.75" customHeight="1">
      <c r="A8" s="1517"/>
      <c r="B8" s="66" t="s">
        <v>12</v>
      </c>
      <c r="C8" s="229">
        <v>200</v>
      </c>
      <c r="D8" s="230">
        <v>200</v>
      </c>
      <c r="E8" s="68">
        <v>75</v>
      </c>
      <c r="F8" s="72">
        <f t="shared" si="0"/>
        <v>0.375</v>
      </c>
      <c r="G8" s="229">
        <v>0</v>
      </c>
      <c r="H8" s="231">
        <v>0</v>
      </c>
      <c r="I8" s="71">
        <v>0</v>
      </c>
      <c r="J8" s="72">
        <v>0</v>
      </c>
      <c r="K8" s="104">
        <v>0</v>
      </c>
      <c r="L8" s="248">
        <v>0</v>
      </c>
      <c r="M8" s="105">
        <v>0</v>
      </c>
      <c r="N8" s="106">
        <v>0</v>
      </c>
      <c r="O8" s="232">
        <v>0</v>
      </c>
      <c r="P8" s="228">
        <v>0</v>
      </c>
      <c r="Q8" s="68">
        <v>0</v>
      </c>
      <c r="R8" s="69">
        <v>0</v>
      </c>
      <c r="S8" s="10"/>
    </row>
    <row r="9" spans="1:19" ht="39.75" customHeight="1">
      <c r="A9" s="1517"/>
      <c r="B9" s="66" t="s">
        <v>13</v>
      </c>
      <c r="C9" s="229">
        <v>200</v>
      </c>
      <c r="D9" s="230">
        <v>0</v>
      </c>
      <c r="E9" s="68">
        <v>0</v>
      </c>
      <c r="F9" s="72">
        <v>0</v>
      </c>
      <c r="G9" s="229">
        <v>0</v>
      </c>
      <c r="H9" s="231">
        <v>0</v>
      </c>
      <c r="I9" s="71">
        <v>0</v>
      </c>
      <c r="J9" s="72">
        <v>0</v>
      </c>
      <c r="K9" s="104">
        <v>0</v>
      </c>
      <c r="L9" s="248">
        <v>0</v>
      </c>
      <c r="M9" s="105">
        <v>0</v>
      </c>
      <c r="N9" s="106">
        <v>0</v>
      </c>
      <c r="O9" s="232">
        <v>0</v>
      </c>
      <c r="P9" s="228">
        <v>0</v>
      </c>
      <c r="Q9" s="68">
        <v>0</v>
      </c>
      <c r="R9" s="69">
        <v>0</v>
      </c>
      <c r="S9" s="10"/>
    </row>
    <row r="10" spans="1:19" ht="39.75" customHeight="1">
      <c r="A10" s="1517"/>
      <c r="B10" s="66" t="s">
        <v>14</v>
      </c>
      <c r="C10" s="229">
        <v>3500</v>
      </c>
      <c r="D10" s="230">
        <v>2500</v>
      </c>
      <c r="E10" s="68">
        <v>1398</v>
      </c>
      <c r="F10" s="72">
        <f t="shared" si="0"/>
        <v>0.5592</v>
      </c>
      <c r="G10" s="229">
        <v>0</v>
      </c>
      <c r="H10" s="231">
        <v>150</v>
      </c>
      <c r="I10" s="71">
        <v>131</v>
      </c>
      <c r="J10" s="72">
        <f>I10/H10</f>
        <v>0.8733333333333333</v>
      </c>
      <c r="K10" s="104">
        <v>7.4</v>
      </c>
      <c r="L10" s="248">
        <v>7.4</v>
      </c>
      <c r="M10" s="105">
        <v>5</v>
      </c>
      <c r="N10" s="72">
        <f>M10/L10</f>
        <v>0.6756756756756757</v>
      </c>
      <c r="O10" s="232">
        <v>5895</v>
      </c>
      <c r="P10" s="228">
        <v>3746</v>
      </c>
      <c r="Q10" s="68">
        <v>1422</v>
      </c>
      <c r="R10" s="72">
        <f>Q10/P10</f>
        <v>0.3796049119060331</v>
      </c>
      <c r="S10" s="10"/>
    </row>
    <row r="11" spans="1:19" ht="39.75" customHeight="1">
      <c r="A11" s="1517"/>
      <c r="B11" s="66" t="s">
        <v>176</v>
      </c>
      <c r="C11" s="229">
        <v>0</v>
      </c>
      <c r="D11" s="230">
        <v>0</v>
      </c>
      <c r="E11" s="68">
        <v>0</v>
      </c>
      <c r="F11" s="72">
        <v>0</v>
      </c>
      <c r="G11" s="229">
        <v>0</v>
      </c>
      <c r="H11" s="231">
        <v>0</v>
      </c>
      <c r="I11" s="71">
        <v>0</v>
      </c>
      <c r="J11" s="72">
        <v>0</v>
      </c>
      <c r="K11" s="104">
        <v>0</v>
      </c>
      <c r="L11" s="248">
        <v>0</v>
      </c>
      <c r="M11" s="105">
        <v>0</v>
      </c>
      <c r="N11" s="106">
        <v>0</v>
      </c>
      <c r="O11" s="232">
        <v>0</v>
      </c>
      <c r="P11" s="228">
        <v>0</v>
      </c>
      <c r="Q11" s="68">
        <v>0</v>
      </c>
      <c r="R11" s="69">
        <v>0</v>
      </c>
      <c r="S11" s="10"/>
    </row>
    <row r="12" spans="1:19" ht="39.75" customHeight="1">
      <c r="A12" s="1517"/>
      <c r="B12" s="66" t="s">
        <v>177</v>
      </c>
      <c r="C12" s="229">
        <v>21000</v>
      </c>
      <c r="D12" s="230">
        <v>21000</v>
      </c>
      <c r="E12" s="68">
        <v>21038</v>
      </c>
      <c r="F12" s="72">
        <f t="shared" si="0"/>
        <v>1.0018095238095237</v>
      </c>
      <c r="G12" s="229">
        <v>0</v>
      </c>
      <c r="H12" s="231">
        <v>0</v>
      </c>
      <c r="I12" s="71">
        <v>0</v>
      </c>
      <c r="J12" s="72">
        <v>0</v>
      </c>
      <c r="K12" s="104">
        <v>0</v>
      </c>
      <c r="L12" s="248">
        <v>0</v>
      </c>
      <c r="M12" s="105">
        <v>0</v>
      </c>
      <c r="N12" s="106">
        <v>0</v>
      </c>
      <c r="O12" s="232">
        <v>0</v>
      </c>
      <c r="P12" s="228">
        <v>0</v>
      </c>
      <c r="Q12" s="68">
        <v>0</v>
      </c>
      <c r="R12" s="69">
        <v>0</v>
      </c>
      <c r="S12" s="10"/>
    </row>
    <row r="13" spans="1:19" ht="39.75" customHeight="1">
      <c r="A13" s="1517"/>
      <c r="B13" s="66" t="s">
        <v>44</v>
      </c>
      <c r="C13" s="229">
        <v>310</v>
      </c>
      <c r="D13" s="230">
        <v>310</v>
      </c>
      <c r="E13" s="68">
        <v>445</v>
      </c>
      <c r="F13" s="72">
        <f t="shared" si="0"/>
        <v>1.435483870967742</v>
      </c>
      <c r="G13" s="229">
        <v>22110</v>
      </c>
      <c r="H13" s="231">
        <v>22110</v>
      </c>
      <c r="I13" s="71">
        <v>22146</v>
      </c>
      <c r="J13" s="72">
        <f>I13/G13</f>
        <v>1.001628222523745</v>
      </c>
      <c r="K13" s="104">
        <v>0</v>
      </c>
      <c r="L13" s="248">
        <v>0</v>
      </c>
      <c r="M13" s="105">
        <v>0</v>
      </c>
      <c r="N13" s="106">
        <v>0</v>
      </c>
      <c r="O13" s="232">
        <v>0</v>
      </c>
      <c r="P13" s="228">
        <v>0</v>
      </c>
      <c r="Q13" s="68">
        <v>0</v>
      </c>
      <c r="R13" s="69">
        <v>0</v>
      </c>
      <c r="S13" s="10"/>
    </row>
    <row r="14" spans="1:19" ht="39.75" customHeight="1">
      <c r="A14" s="1517"/>
      <c r="B14" s="66" t="s">
        <v>15</v>
      </c>
      <c r="C14" s="229">
        <v>100</v>
      </c>
      <c r="D14" s="230">
        <v>100</v>
      </c>
      <c r="E14" s="68">
        <v>0</v>
      </c>
      <c r="F14" s="72">
        <f>E14/D14</f>
        <v>0</v>
      </c>
      <c r="G14" s="229">
        <v>0</v>
      </c>
      <c r="H14" s="231">
        <v>0</v>
      </c>
      <c r="I14" s="71">
        <v>0</v>
      </c>
      <c r="J14" s="72">
        <v>0</v>
      </c>
      <c r="K14" s="104">
        <v>0</v>
      </c>
      <c r="L14" s="248">
        <v>0</v>
      </c>
      <c r="M14" s="231">
        <v>0</v>
      </c>
      <c r="N14" s="106">
        <v>0</v>
      </c>
      <c r="O14" s="232">
        <v>0</v>
      </c>
      <c r="P14" s="228">
        <v>0</v>
      </c>
      <c r="Q14" s="68">
        <v>0</v>
      </c>
      <c r="R14" s="69">
        <v>0</v>
      </c>
      <c r="S14" s="10"/>
    </row>
    <row r="15" spans="1:19" ht="39.75" customHeight="1">
      <c r="A15" s="1517"/>
      <c r="B15" s="66" t="s">
        <v>136</v>
      </c>
      <c r="C15" s="229">
        <v>1000</v>
      </c>
      <c r="D15" s="230">
        <v>1000</v>
      </c>
      <c r="E15" s="68">
        <v>167</v>
      </c>
      <c r="F15" s="72">
        <f>E15/D15</f>
        <v>0.167</v>
      </c>
      <c r="G15" s="229">
        <v>0</v>
      </c>
      <c r="H15" s="231">
        <v>0</v>
      </c>
      <c r="I15" s="71">
        <v>0</v>
      </c>
      <c r="J15" s="72">
        <v>0</v>
      </c>
      <c r="K15" s="104">
        <v>0</v>
      </c>
      <c r="L15" s="248">
        <v>0</v>
      </c>
      <c r="M15" s="231">
        <v>0</v>
      </c>
      <c r="N15" s="106">
        <v>0</v>
      </c>
      <c r="O15" s="232">
        <v>0</v>
      </c>
      <c r="P15" s="228">
        <v>0</v>
      </c>
      <c r="Q15" s="68">
        <v>0</v>
      </c>
      <c r="R15" s="69">
        <v>0</v>
      </c>
      <c r="S15" s="10"/>
    </row>
    <row r="16" spans="1:19" ht="39.75" customHeight="1">
      <c r="A16" s="1517"/>
      <c r="B16" s="66" t="s">
        <v>16</v>
      </c>
      <c r="C16" s="229">
        <v>0</v>
      </c>
      <c r="D16" s="230">
        <v>0</v>
      </c>
      <c r="E16" s="68">
        <v>0</v>
      </c>
      <c r="F16" s="72">
        <v>0</v>
      </c>
      <c r="G16" s="229">
        <v>0</v>
      </c>
      <c r="H16" s="231">
        <v>0</v>
      </c>
      <c r="I16" s="68">
        <v>0</v>
      </c>
      <c r="J16" s="72">
        <v>0</v>
      </c>
      <c r="K16" s="104">
        <v>0</v>
      </c>
      <c r="L16" s="248">
        <v>0</v>
      </c>
      <c r="M16" s="105">
        <v>0</v>
      </c>
      <c r="N16" s="106">
        <v>0</v>
      </c>
      <c r="O16" s="229">
        <v>0</v>
      </c>
      <c r="P16" s="231">
        <v>0</v>
      </c>
      <c r="Q16" s="68">
        <v>0</v>
      </c>
      <c r="R16" s="69">
        <v>0</v>
      </c>
      <c r="S16" s="10"/>
    </row>
    <row r="17" spans="1:19" ht="39.75" customHeight="1">
      <c r="A17" s="1517"/>
      <c r="B17" s="66" t="s">
        <v>178</v>
      </c>
      <c r="C17" s="229">
        <v>280000</v>
      </c>
      <c r="D17" s="230">
        <v>510000</v>
      </c>
      <c r="E17" s="68">
        <v>762407</v>
      </c>
      <c r="F17" s="72">
        <f>E17/D17</f>
        <v>1.4949156862745099</v>
      </c>
      <c r="G17" s="229">
        <v>0</v>
      </c>
      <c r="H17" s="231">
        <v>0</v>
      </c>
      <c r="I17" s="68">
        <v>0</v>
      </c>
      <c r="J17" s="72">
        <v>0</v>
      </c>
      <c r="K17" s="104">
        <v>0</v>
      </c>
      <c r="L17" s="248">
        <v>0</v>
      </c>
      <c r="M17" s="105">
        <v>0</v>
      </c>
      <c r="N17" s="106">
        <v>0</v>
      </c>
      <c r="O17" s="229">
        <v>0</v>
      </c>
      <c r="P17" s="231">
        <v>0</v>
      </c>
      <c r="Q17" s="68">
        <v>0</v>
      </c>
      <c r="R17" s="69">
        <v>0</v>
      </c>
      <c r="S17" s="10"/>
    </row>
    <row r="18" spans="1:19" ht="39.75" customHeight="1">
      <c r="A18" s="1517"/>
      <c r="B18" s="66" t="s">
        <v>133</v>
      </c>
      <c r="C18" s="229">
        <v>70000</v>
      </c>
      <c r="D18" s="230">
        <v>120000</v>
      </c>
      <c r="E18" s="68">
        <v>127508</v>
      </c>
      <c r="F18" s="72">
        <f>E18/D18</f>
        <v>1.0625666666666667</v>
      </c>
      <c r="G18" s="229">
        <v>0</v>
      </c>
      <c r="H18" s="231">
        <v>0</v>
      </c>
      <c r="I18" s="68">
        <v>0</v>
      </c>
      <c r="J18" s="72">
        <v>0</v>
      </c>
      <c r="K18" s="250">
        <v>0</v>
      </c>
      <c r="L18" s="248">
        <v>0</v>
      </c>
      <c r="M18" s="105">
        <v>0</v>
      </c>
      <c r="N18" s="106">
        <v>0</v>
      </c>
      <c r="O18" s="229">
        <v>0</v>
      </c>
      <c r="P18" s="231">
        <v>0</v>
      </c>
      <c r="Q18" s="68">
        <v>0</v>
      </c>
      <c r="R18" s="69">
        <v>0</v>
      </c>
      <c r="S18" s="10"/>
    </row>
    <row r="19" spans="1:19" ht="39.75" customHeight="1">
      <c r="A19" s="1517"/>
      <c r="B19" s="234" t="s">
        <v>132</v>
      </c>
      <c r="C19" s="126">
        <v>0</v>
      </c>
      <c r="D19" s="235">
        <v>0</v>
      </c>
      <c r="E19" s="120">
        <v>0</v>
      </c>
      <c r="F19" s="70">
        <v>0</v>
      </c>
      <c r="G19" s="236">
        <v>0</v>
      </c>
      <c r="H19" s="237">
        <v>0</v>
      </c>
      <c r="I19" s="120">
        <v>0</v>
      </c>
      <c r="J19" s="70">
        <v>0</v>
      </c>
      <c r="K19" s="236">
        <v>0</v>
      </c>
      <c r="L19" s="235">
        <v>0</v>
      </c>
      <c r="M19" s="251">
        <v>0</v>
      </c>
      <c r="N19" s="252">
        <v>0</v>
      </c>
      <c r="O19" s="236">
        <v>0</v>
      </c>
      <c r="P19" s="237">
        <v>0</v>
      </c>
      <c r="Q19" s="120">
        <v>0</v>
      </c>
      <c r="R19" s="121">
        <v>0</v>
      </c>
      <c r="S19" s="10"/>
    </row>
    <row r="20" spans="1:19" ht="39.75" customHeight="1">
      <c r="A20" s="1518"/>
      <c r="B20" s="11" t="s">
        <v>42</v>
      </c>
      <c r="C20" s="239">
        <f>SUM(C4:C19)</f>
        <v>397510</v>
      </c>
      <c r="D20" s="240">
        <f>SUM(D4:D19)</f>
        <v>665610</v>
      </c>
      <c r="E20" s="73">
        <f>SUM(E4:E19)</f>
        <v>922121</v>
      </c>
      <c r="F20" s="241">
        <f>E20/D20</f>
        <v>1.3853773230570454</v>
      </c>
      <c r="G20" s="239">
        <f>SUM(G4:G19)</f>
        <v>22110</v>
      </c>
      <c r="H20" s="240">
        <f>SUM(H4:H19)</f>
        <v>22260</v>
      </c>
      <c r="I20" s="73">
        <f>SUM(I4:I19)</f>
        <v>22277</v>
      </c>
      <c r="J20" s="241">
        <f>I20/G20</f>
        <v>1.007553143374039</v>
      </c>
      <c r="K20" s="107">
        <f>SUM(K4:K19)</f>
        <v>7.4</v>
      </c>
      <c r="L20" s="245">
        <f>SUM(L4:L19)</f>
        <v>7.4</v>
      </c>
      <c r="M20" s="108">
        <f>SUM(M4:M18)</f>
        <v>5</v>
      </c>
      <c r="N20" s="109">
        <f>M20/L20</f>
        <v>0.6756756756756757</v>
      </c>
      <c r="O20" s="239">
        <f>SUM(O4:O19)</f>
        <v>5895</v>
      </c>
      <c r="P20" s="240">
        <f>SUM(P4:P19)</f>
        <v>3746</v>
      </c>
      <c r="Q20" s="73">
        <f>SUM(Q4:Q19)</f>
        <v>1422</v>
      </c>
      <c r="R20" s="75">
        <f>Q20/P20</f>
        <v>0.3796049119060331</v>
      </c>
      <c r="S20" s="10"/>
    </row>
    <row r="21" spans="1:19" ht="39.75" customHeight="1">
      <c r="A21" s="1516" t="s">
        <v>39</v>
      </c>
      <c r="B21" s="65" t="s">
        <v>7</v>
      </c>
      <c r="C21" s="226">
        <v>0</v>
      </c>
      <c r="D21" s="242">
        <v>0</v>
      </c>
      <c r="E21" s="77">
        <v>0</v>
      </c>
      <c r="F21" s="118">
        <v>0</v>
      </c>
      <c r="G21" s="226">
        <v>0</v>
      </c>
      <c r="H21" s="242">
        <v>0</v>
      </c>
      <c r="I21" s="77">
        <v>0</v>
      </c>
      <c r="J21" s="78">
        <v>0</v>
      </c>
      <c r="K21" s="101">
        <v>0</v>
      </c>
      <c r="L21" s="102">
        <v>0</v>
      </c>
      <c r="M21" s="102">
        <v>0</v>
      </c>
      <c r="N21" s="254">
        <v>0</v>
      </c>
      <c r="O21" s="226">
        <v>0</v>
      </c>
      <c r="P21" s="242">
        <v>0</v>
      </c>
      <c r="Q21" s="77">
        <v>0</v>
      </c>
      <c r="R21" s="78">
        <v>0</v>
      </c>
      <c r="S21" s="10"/>
    </row>
    <row r="22" spans="1:19" ht="39.75" customHeight="1">
      <c r="A22" s="1517"/>
      <c r="B22" s="66" t="s">
        <v>19</v>
      </c>
      <c r="C22" s="229">
        <v>7000</v>
      </c>
      <c r="D22" s="230">
        <v>8361.3</v>
      </c>
      <c r="E22" s="68">
        <v>8905</v>
      </c>
      <c r="F22" s="72">
        <f>E22/D22</f>
        <v>1.0650257735041202</v>
      </c>
      <c r="G22" s="229">
        <v>0</v>
      </c>
      <c r="H22" s="231">
        <v>0</v>
      </c>
      <c r="I22" s="68">
        <v>0</v>
      </c>
      <c r="J22" s="69">
        <v>0</v>
      </c>
      <c r="K22" s="104">
        <v>0</v>
      </c>
      <c r="L22" s="248">
        <v>0</v>
      </c>
      <c r="M22" s="105">
        <v>0</v>
      </c>
      <c r="N22" s="106">
        <v>0</v>
      </c>
      <c r="O22" s="229">
        <v>0</v>
      </c>
      <c r="P22" s="231">
        <v>0</v>
      </c>
      <c r="Q22" s="68">
        <v>0</v>
      </c>
      <c r="R22" s="69">
        <v>0</v>
      </c>
      <c r="S22" s="10"/>
    </row>
    <row r="23" spans="1:19" ht="39.75" customHeight="1">
      <c r="A23" s="1517"/>
      <c r="B23" s="66" t="s">
        <v>8</v>
      </c>
      <c r="C23" s="229">
        <v>1700</v>
      </c>
      <c r="D23" s="230">
        <v>2300</v>
      </c>
      <c r="E23" s="68">
        <v>2239</v>
      </c>
      <c r="F23" s="72">
        <f aca="true" t="shared" si="1" ref="F23:F31">E23/D23</f>
        <v>0.9734782608695652</v>
      </c>
      <c r="G23" s="229">
        <v>0</v>
      </c>
      <c r="H23" s="231">
        <v>0</v>
      </c>
      <c r="I23" s="68">
        <v>0</v>
      </c>
      <c r="J23" s="69">
        <v>0</v>
      </c>
      <c r="K23" s="104">
        <v>0</v>
      </c>
      <c r="L23" s="248">
        <v>0</v>
      </c>
      <c r="M23" s="105">
        <v>0</v>
      </c>
      <c r="N23" s="106">
        <v>0</v>
      </c>
      <c r="O23" s="229">
        <v>0</v>
      </c>
      <c r="P23" s="231">
        <v>0</v>
      </c>
      <c r="Q23" s="68">
        <v>0</v>
      </c>
      <c r="R23" s="69">
        <v>0</v>
      </c>
      <c r="S23" s="10"/>
    </row>
    <row r="24" spans="1:19" ht="39.75" customHeight="1">
      <c r="A24" s="1517"/>
      <c r="B24" s="66" t="s">
        <v>9</v>
      </c>
      <c r="C24" s="229">
        <v>0</v>
      </c>
      <c r="D24" s="230">
        <v>0</v>
      </c>
      <c r="E24" s="68">
        <v>0</v>
      </c>
      <c r="F24" s="72">
        <v>0</v>
      </c>
      <c r="G24" s="229">
        <v>0</v>
      </c>
      <c r="H24" s="231">
        <v>0</v>
      </c>
      <c r="I24" s="68">
        <v>0</v>
      </c>
      <c r="J24" s="69">
        <v>0</v>
      </c>
      <c r="K24" s="104">
        <v>0</v>
      </c>
      <c r="L24" s="248">
        <v>0</v>
      </c>
      <c r="M24" s="105">
        <v>0</v>
      </c>
      <c r="N24" s="106">
        <v>0</v>
      </c>
      <c r="O24" s="229">
        <v>0</v>
      </c>
      <c r="P24" s="231">
        <v>0</v>
      </c>
      <c r="Q24" s="68">
        <v>0</v>
      </c>
      <c r="R24" s="69">
        <v>0</v>
      </c>
      <c r="S24" s="10"/>
    </row>
    <row r="25" spans="1:19" ht="39.75" customHeight="1">
      <c r="A25" s="1517"/>
      <c r="B25" s="66" t="s">
        <v>47</v>
      </c>
      <c r="C25" s="229">
        <v>4200</v>
      </c>
      <c r="D25" s="230">
        <v>4200</v>
      </c>
      <c r="E25" s="68">
        <v>4173</v>
      </c>
      <c r="F25" s="72">
        <f t="shared" si="1"/>
        <v>0.9935714285714285</v>
      </c>
      <c r="G25" s="229">
        <v>0</v>
      </c>
      <c r="H25" s="231">
        <v>0</v>
      </c>
      <c r="I25" s="68">
        <v>0</v>
      </c>
      <c r="J25" s="69">
        <v>0</v>
      </c>
      <c r="K25" s="104">
        <v>17.3</v>
      </c>
      <c r="L25" s="248">
        <v>17.3</v>
      </c>
      <c r="M25" s="105">
        <v>5</v>
      </c>
      <c r="N25" s="106">
        <f>M25/L25</f>
        <v>0.2890173410404624</v>
      </c>
      <c r="O25" s="229">
        <v>0</v>
      </c>
      <c r="P25" s="231">
        <v>0</v>
      </c>
      <c r="Q25" s="68">
        <v>45</v>
      </c>
      <c r="R25" s="69">
        <v>0</v>
      </c>
      <c r="S25" s="10"/>
    </row>
    <row r="26" spans="1:19" ht="39.75" customHeight="1">
      <c r="A26" s="1517"/>
      <c r="B26" s="66" t="s">
        <v>45</v>
      </c>
      <c r="C26" s="229">
        <v>0</v>
      </c>
      <c r="D26" s="230">
        <v>0</v>
      </c>
      <c r="E26" s="68">
        <v>0</v>
      </c>
      <c r="F26" s="72">
        <v>0</v>
      </c>
      <c r="G26" s="229">
        <v>0</v>
      </c>
      <c r="H26" s="231">
        <v>0</v>
      </c>
      <c r="I26" s="68">
        <v>0</v>
      </c>
      <c r="J26" s="69">
        <v>0</v>
      </c>
      <c r="K26" s="104">
        <v>0</v>
      </c>
      <c r="L26" s="248">
        <v>0</v>
      </c>
      <c r="M26" s="105">
        <v>0</v>
      </c>
      <c r="N26" s="106">
        <v>0</v>
      </c>
      <c r="O26" s="229">
        <v>0</v>
      </c>
      <c r="P26" s="231">
        <v>0</v>
      </c>
      <c r="Q26" s="68">
        <v>0</v>
      </c>
      <c r="R26" s="69">
        <v>0</v>
      </c>
      <c r="S26" s="10"/>
    </row>
    <row r="27" spans="1:19" ht="39.75" customHeight="1">
      <c r="A27" s="1517"/>
      <c r="B27" s="66" t="s">
        <v>469</v>
      </c>
      <c r="C27" s="229">
        <v>0</v>
      </c>
      <c r="D27" s="230">
        <v>0</v>
      </c>
      <c r="E27" s="68">
        <v>0</v>
      </c>
      <c r="F27" s="72">
        <v>0</v>
      </c>
      <c r="G27" s="229">
        <v>0</v>
      </c>
      <c r="H27" s="231">
        <v>0</v>
      </c>
      <c r="I27" s="68">
        <v>0</v>
      </c>
      <c r="J27" s="69">
        <v>0</v>
      </c>
      <c r="K27" s="104">
        <v>0</v>
      </c>
      <c r="L27" s="248">
        <v>0</v>
      </c>
      <c r="M27" s="105">
        <v>0</v>
      </c>
      <c r="N27" s="106">
        <v>0</v>
      </c>
      <c r="O27" s="229">
        <v>0</v>
      </c>
      <c r="P27" s="231">
        <v>0</v>
      </c>
      <c r="Q27" s="68">
        <v>0</v>
      </c>
      <c r="R27" s="69">
        <v>0</v>
      </c>
      <c r="S27" s="10"/>
    </row>
    <row r="28" spans="1:19" ht="39.75" customHeight="1">
      <c r="A28" s="1517"/>
      <c r="B28" s="66" t="s">
        <v>228</v>
      </c>
      <c r="C28" s="229">
        <v>0</v>
      </c>
      <c r="D28" s="230">
        <v>0</v>
      </c>
      <c r="E28" s="68">
        <v>0</v>
      </c>
      <c r="F28" s="72">
        <v>0</v>
      </c>
      <c r="G28" s="229">
        <v>0</v>
      </c>
      <c r="H28" s="231">
        <v>0</v>
      </c>
      <c r="I28" s="68">
        <v>0</v>
      </c>
      <c r="J28" s="69">
        <v>0</v>
      </c>
      <c r="K28" s="104">
        <v>0</v>
      </c>
      <c r="L28" s="248">
        <v>0</v>
      </c>
      <c r="M28" s="105">
        <v>0</v>
      </c>
      <c r="N28" s="106">
        <v>0</v>
      </c>
      <c r="O28" s="229">
        <v>0</v>
      </c>
      <c r="P28" s="231">
        <v>0</v>
      </c>
      <c r="Q28" s="68">
        <v>0</v>
      </c>
      <c r="R28" s="69">
        <v>0</v>
      </c>
      <c r="S28" s="10"/>
    </row>
    <row r="29" spans="1:19" ht="39.75" customHeight="1">
      <c r="A29" s="1517"/>
      <c r="B29" s="66" t="s">
        <v>10</v>
      </c>
      <c r="C29" s="229">
        <v>90</v>
      </c>
      <c r="D29" s="230">
        <v>90</v>
      </c>
      <c r="E29" s="68">
        <v>7</v>
      </c>
      <c r="F29" s="72">
        <f t="shared" si="1"/>
        <v>0.07777777777777778</v>
      </c>
      <c r="G29" s="229">
        <v>0</v>
      </c>
      <c r="H29" s="231">
        <v>0</v>
      </c>
      <c r="I29" s="68">
        <v>0</v>
      </c>
      <c r="J29" s="69">
        <v>0</v>
      </c>
      <c r="K29" s="104">
        <v>0</v>
      </c>
      <c r="L29" s="248">
        <v>0</v>
      </c>
      <c r="M29" s="105">
        <v>0</v>
      </c>
      <c r="N29" s="106">
        <v>0</v>
      </c>
      <c r="O29" s="229">
        <v>0</v>
      </c>
      <c r="P29" s="231">
        <v>0</v>
      </c>
      <c r="Q29" s="68">
        <v>0</v>
      </c>
      <c r="R29" s="69">
        <v>0</v>
      </c>
      <c r="S29" s="10"/>
    </row>
    <row r="30" spans="1:19" ht="39.75" customHeight="1">
      <c r="A30" s="1517"/>
      <c r="B30" s="66" t="s">
        <v>46</v>
      </c>
      <c r="C30" s="229">
        <v>1000</v>
      </c>
      <c r="D30" s="230">
        <v>1000</v>
      </c>
      <c r="E30" s="68">
        <v>3391</v>
      </c>
      <c r="F30" s="72">
        <f t="shared" si="1"/>
        <v>3.391</v>
      </c>
      <c r="G30" s="229">
        <v>0</v>
      </c>
      <c r="H30" s="231">
        <v>0</v>
      </c>
      <c r="I30" s="68">
        <v>0</v>
      </c>
      <c r="J30" s="69">
        <v>0</v>
      </c>
      <c r="K30" s="122">
        <v>0</v>
      </c>
      <c r="L30" s="248">
        <v>0</v>
      </c>
      <c r="M30" s="105">
        <v>0</v>
      </c>
      <c r="N30" s="123">
        <v>0</v>
      </c>
      <c r="O30" s="229">
        <v>0</v>
      </c>
      <c r="P30" s="231">
        <v>0</v>
      </c>
      <c r="Q30" s="68">
        <v>0</v>
      </c>
      <c r="R30" s="69">
        <v>0</v>
      </c>
      <c r="S30" s="10"/>
    </row>
    <row r="31" spans="1:19" ht="39.75" customHeight="1">
      <c r="A31" s="1517"/>
      <c r="B31" s="399" t="s">
        <v>135</v>
      </c>
      <c r="C31" s="400">
        <v>220000</v>
      </c>
      <c r="D31" s="401">
        <v>450000</v>
      </c>
      <c r="E31" s="402">
        <v>810080</v>
      </c>
      <c r="F31" s="403">
        <f t="shared" si="1"/>
        <v>1.8001777777777779</v>
      </c>
      <c r="G31" s="400">
        <v>0</v>
      </c>
      <c r="H31" s="404">
        <v>0</v>
      </c>
      <c r="I31" s="402">
        <v>0</v>
      </c>
      <c r="J31" s="405">
        <v>0</v>
      </c>
      <c r="K31" s="250">
        <v>0</v>
      </c>
      <c r="L31" s="248">
        <v>0</v>
      </c>
      <c r="M31" s="105">
        <v>0</v>
      </c>
      <c r="N31" s="406">
        <v>0</v>
      </c>
      <c r="O31" s="400">
        <v>0</v>
      </c>
      <c r="P31" s="404">
        <v>0</v>
      </c>
      <c r="Q31" s="402">
        <v>0</v>
      </c>
      <c r="R31" s="405">
        <v>0</v>
      </c>
      <c r="S31" s="10"/>
    </row>
    <row r="32" spans="1:19" ht="39.75" customHeight="1">
      <c r="A32" s="1517"/>
      <c r="B32" s="119" t="s">
        <v>476</v>
      </c>
      <c r="C32" s="126">
        <v>0</v>
      </c>
      <c r="D32" s="371">
        <v>0</v>
      </c>
      <c r="E32" s="120">
        <v>0</v>
      </c>
      <c r="F32" s="121">
        <v>0</v>
      </c>
      <c r="G32" s="236">
        <v>0</v>
      </c>
      <c r="H32" s="237">
        <v>0</v>
      </c>
      <c r="I32" s="120">
        <v>0</v>
      </c>
      <c r="J32" s="121">
        <v>0</v>
      </c>
      <c r="K32" s="236">
        <v>0</v>
      </c>
      <c r="L32" s="235">
        <v>0</v>
      </c>
      <c r="M32" s="251">
        <v>0</v>
      </c>
      <c r="N32" s="125">
        <v>0</v>
      </c>
      <c r="O32" s="236">
        <v>0</v>
      </c>
      <c r="P32" s="237">
        <v>0</v>
      </c>
      <c r="Q32" s="120">
        <v>0</v>
      </c>
      <c r="R32" s="121">
        <v>0</v>
      </c>
      <c r="S32" s="10"/>
    </row>
    <row r="33" spans="1:19" ht="57.75" customHeight="1">
      <c r="A33" s="1518"/>
      <c r="B33" s="1137" t="s">
        <v>42</v>
      </c>
      <c r="C33" s="1138">
        <f>SUM(C21:C32)</f>
        <v>233990</v>
      </c>
      <c r="D33" s="1139">
        <f>SUM(D21:D32)</f>
        <v>465951.3</v>
      </c>
      <c r="E33" s="1140">
        <f>SUM(E21:E32)</f>
        <v>828795</v>
      </c>
      <c r="F33" s="1141">
        <f>E33/D33</f>
        <v>1.7787159301841202</v>
      </c>
      <c r="G33" s="1138">
        <f>SUM(G21:G32)</f>
        <v>0</v>
      </c>
      <c r="H33" s="1139">
        <f>SUM(H21:H32)</f>
        <v>0</v>
      </c>
      <c r="I33" s="1140">
        <f>SUM(I21:I32)</f>
        <v>0</v>
      </c>
      <c r="J33" s="1149">
        <v>0</v>
      </c>
      <c r="K33" s="1146">
        <f>SUM(K21:K32)</f>
        <v>17.3</v>
      </c>
      <c r="L33" s="1147">
        <f>SUM(L21:L32)</f>
        <v>17.3</v>
      </c>
      <c r="M33" s="1144">
        <f>SUM(M21:M32)</f>
        <v>5</v>
      </c>
      <c r="N33" s="1150">
        <f>M33/L33</f>
        <v>0.2890173410404624</v>
      </c>
      <c r="O33" s="1138">
        <f>SUM(O21:O32)</f>
        <v>0</v>
      </c>
      <c r="P33" s="1139">
        <f>SUM(P21:P32)</f>
        <v>0</v>
      </c>
      <c r="Q33" s="1140">
        <f>SUM(Q21:Q32)</f>
        <v>45</v>
      </c>
      <c r="R33" s="1141">
        <v>0</v>
      </c>
      <c r="S33" s="10"/>
    </row>
    <row r="34" spans="1:19" ht="45" customHeight="1" hidden="1">
      <c r="A34" s="42"/>
      <c r="B34" s="82"/>
      <c r="C34" s="40"/>
      <c r="D34" s="40"/>
      <c r="E34" s="40"/>
      <c r="F34" s="83"/>
      <c r="G34" s="40"/>
      <c r="H34" s="40"/>
      <c r="I34" s="40"/>
      <c r="J34" s="83"/>
      <c r="K34" s="40"/>
      <c r="L34" s="40"/>
      <c r="M34" s="40"/>
      <c r="N34" s="41"/>
      <c r="O34" s="40"/>
      <c r="P34" s="40"/>
      <c r="Q34" s="40"/>
      <c r="R34" s="83"/>
      <c r="S34" s="10"/>
    </row>
    <row r="35" spans="1:18" ht="81.75" customHeight="1">
      <c r="A35" s="1527" t="s">
        <v>737</v>
      </c>
      <c r="B35" s="1527"/>
      <c r="C35" s="1527"/>
      <c r="D35" s="1527"/>
      <c r="E35" s="1527"/>
      <c r="F35" s="1527"/>
      <c r="G35" s="1527"/>
      <c r="H35" s="1527"/>
      <c r="I35" s="1527"/>
      <c r="J35" s="1527"/>
      <c r="K35" s="1527"/>
      <c r="L35" s="1527"/>
      <c r="M35" s="1527"/>
      <c r="N35" s="1527"/>
      <c r="O35" s="1527"/>
      <c r="P35" s="1527"/>
      <c r="Q35" s="1527"/>
      <c r="R35" s="256" t="s">
        <v>740</v>
      </c>
    </row>
    <row r="36" spans="1:19" ht="35.25" customHeight="1">
      <c r="A36" s="1519" t="s">
        <v>26</v>
      </c>
      <c r="B36" s="1520"/>
      <c r="C36" s="1524" t="s">
        <v>230</v>
      </c>
      <c r="D36" s="1525"/>
      <c r="E36" s="1525"/>
      <c r="F36" s="1526"/>
      <c r="G36" s="1524" t="s">
        <v>470</v>
      </c>
      <c r="H36" s="1525"/>
      <c r="I36" s="1525"/>
      <c r="J36" s="1526"/>
      <c r="K36" s="1524" t="s">
        <v>231</v>
      </c>
      <c r="L36" s="1525"/>
      <c r="M36" s="1525"/>
      <c r="N36" s="1526"/>
      <c r="O36" s="1521" t="s">
        <v>232</v>
      </c>
      <c r="P36" s="1522"/>
      <c r="Q36" s="1522"/>
      <c r="R36" s="1523"/>
      <c r="S36" s="10"/>
    </row>
    <row r="37" spans="1:19" ht="37.5" customHeight="1">
      <c r="A37" s="1520"/>
      <c r="B37" s="1520"/>
      <c r="C37" s="1130" t="s">
        <v>27</v>
      </c>
      <c r="D37" s="1131" t="s">
        <v>28</v>
      </c>
      <c r="E37" s="1131" t="s">
        <v>29</v>
      </c>
      <c r="F37" s="1132" t="s">
        <v>30</v>
      </c>
      <c r="G37" s="1130" t="s">
        <v>27</v>
      </c>
      <c r="H37" s="1131" t="s">
        <v>28</v>
      </c>
      <c r="I37" s="1131" t="s">
        <v>29</v>
      </c>
      <c r="J37" s="1132" t="s">
        <v>30</v>
      </c>
      <c r="K37" s="1130" t="s">
        <v>27</v>
      </c>
      <c r="L37" s="1131" t="s">
        <v>28</v>
      </c>
      <c r="M37" s="1131" t="s">
        <v>29</v>
      </c>
      <c r="N37" s="1132" t="s">
        <v>30</v>
      </c>
      <c r="O37" s="1130" t="s">
        <v>27</v>
      </c>
      <c r="P37" s="1131" t="s">
        <v>28</v>
      </c>
      <c r="Q37" s="1131" t="s">
        <v>29</v>
      </c>
      <c r="R37" s="1133" t="s">
        <v>31</v>
      </c>
      <c r="S37" s="10"/>
    </row>
    <row r="38" spans="1:19" ht="39.75" customHeight="1">
      <c r="A38" s="1516" t="s">
        <v>38</v>
      </c>
      <c r="B38" s="65" t="s">
        <v>49</v>
      </c>
      <c r="C38" s="226">
        <v>0</v>
      </c>
      <c r="D38" s="228">
        <v>0</v>
      </c>
      <c r="E38" s="71">
        <v>0</v>
      </c>
      <c r="F38" s="72">
        <v>0</v>
      </c>
      <c r="G38" s="226">
        <v>0</v>
      </c>
      <c r="H38" s="228">
        <v>0</v>
      </c>
      <c r="I38" s="71">
        <v>0</v>
      </c>
      <c r="J38" s="72">
        <v>0</v>
      </c>
      <c r="K38" s="226">
        <v>0</v>
      </c>
      <c r="L38" s="228">
        <v>0</v>
      </c>
      <c r="M38" s="71">
        <v>0</v>
      </c>
      <c r="N38" s="72">
        <v>0</v>
      </c>
      <c r="O38" s="226">
        <v>0</v>
      </c>
      <c r="P38" s="228">
        <v>0</v>
      </c>
      <c r="Q38" s="71">
        <v>0</v>
      </c>
      <c r="R38" s="72">
        <v>0</v>
      </c>
      <c r="S38" s="10"/>
    </row>
    <row r="39" spans="1:19" ht="39.75" customHeight="1">
      <c r="A39" s="1517"/>
      <c r="B39" s="66" t="s">
        <v>50</v>
      </c>
      <c r="C39" s="229">
        <v>0</v>
      </c>
      <c r="D39" s="231">
        <v>0</v>
      </c>
      <c r="E39" s="68">
        <v>0</v>
      </c>
      <c r="F39" s="69">
        <v>0</v>
      </c>
      <c r="G39" s="229">
        <v>0</v>
      </c>
      <c r="H39" s="231">
        <v>0</v>
      </c>
      <c r="I39" s="68">
        <v>0</v>
      </c>
      <c r="J39" s="69">
        <v>0</v>
      </c>
      <c r="K39" s="229">
        <v>0</v>
      </c>
      <c r="L39" s="231">
        <v>0</v>
      </c>
      <c r="M39" s="68">
        <v>0</v>
      </c>
      <c r="N39" s="69">
        <v>0</v>
      </c>
      <c r="O39" s="229">
        <v>0</v>
      </c>
      <c r="P39" s="231">
        <v>0</v>
      </c>
      <c r="Q39" s="68">
        <v>0</v>
      </c>
      <c r="R39" s="69">
        <v>0</v>
      </c>
      <c r="S39" s="10"/>
    </row>
    <row r="40" spans="1:19" ht="39.75" customHeight="1">
      <c r="A40" s="1517"/>
      <c r="B40" s="67" t="s">
        <v>43</v>
      </c>
      <c r="C40" s="229">
        <v>0</v>
      </c>
      <c r="D40" s="231">
        <v>0</v>
      </c>
      <c r="E40" s="68">
        <v>0</v>
      </c>
      <c r="F40" s="69">
        <v>0</v>
      </c>
      <c r="G40" s="229">
        <v>0</v>
      </c>
      <c r="H40" s="231">
        <v>0</v>
      </c>
      <c r="I40" s="68">
        <v>0</v>
      </c>
      <c r="J40" s="69">
        <v>0</v>
      </c>
      <c r="K40" s="229">
        <v>0</v>
      </c>
      <c r="L40" s="231">
        <v>0</v>
      </c>
      <c r="M40" s="68">
        <v>0</v>
      </c>
      <c r="N40" s="69">
        <v>0</v>
      </c>
      <c r="O40" s="229">
        <v>0</v>
      </c>
      <c r="P40" s="231">
        <v>0</v>
      </c>
      <c r="Q40" s="68">
        <v>0</v>
      </c>
      <c r="R40" s="69">
        <v>0</v>
      </c>
      <c r="S40" s="10"/>
    </row>
    <row r="41" spans="1:19" ht="39.75" customHeight="1">
      <c r="A41" s="1517"/>
      <c r="B41" s="66" t="s">
        <v>11</v>
      </c>
      <c r="C41" s="229">
        <v>0</v>
      </c>
      <c r="D41" s="231">
        <v>0</v>
      </c>
      <c r="E41" s="68">
        <v>0</v>
      </c>
      <c r="F41" s="69">
        <v>0</v>
      </c>
      <c r="G41" s="229">
        <v>0</v>
      </c>
      <c r="H41" s="231">
        <v>0</v>
      </c>
      <c r="I41" s="68">
        <v>0</v>
      </c>
      <c r="J41" s="69">
        <v>0</v>
      </c>
      <c r="K41" s="229">
        <v>1000</v>
      </c>
      <c r="L41" s="231">
        <v>1000</v>
      </c>
      <c r="M41" s="68">
        <v>1004</v>
      </c>
      <c r="N41" s="72">
        <f>M41/L41</f>
        <v>1.004</v>
      </c>
      <c r="O41" s="229">
        <v>0</v>
      </c>
      <c r="P41" s="231">
        <v>0</v>
      </c>
      <c r="Q41" s="68">
        <v>0</v>
      </c>
      <c r="R41" s="69">
        <v>0</v>
      </c>
      <c r="S41" s="10"/>
    </row>
    <row r="42" spans="1:19" ht="39.75" customHeight="1">
      <c r="A42" s="1517"/>
      <c r="B42" s="66" t="s">
        <v>12</v>
      </c>
      <c r="C42" s="229">
        <v>0</v>
      </c>
      <c r="D42" s="231">
        <v>0</v>
      </c>
      <c r="E42" s="68">
        <v>0</v>
      </c>
      <c r="F42" s="69">
        <v>0</v>
      </c>
      <c r="G42" s="229">
        <v>0</v>
      </c>
      <c r="H42" s="231">
        <v>0</v>
      </c>
      <c r="I42" s="68">
        <v>0</v>
      </c>
      <c r="J42" s="69">
        <v>0</v>
      </c>
      <c r="K42" s="229">
        <v>0</v>
      </c>
      <c r="L42" s="231">
        <v>0</v>
      </c>
      <c r="M42" s="68">
        <v>0</v>
      </c>
      <c r="N42" s="72">
        <v>0</v>
      </c>
      <c r="O42" s="229">
        <v>0</v>
      </c>
      <c r="P42" s="231">
        <v>0</v>
      </c>
      <c r="Q42" s="68">
        <v>0</v>
      </c>
      <c r="R42" s="69">
        <v>0</v>
      </c>
      <c r="S42" s="10"/>
    </row>
    <row r="43" spans="1:19" ht="39.75" customHeight="1">
      <c r="A43" s="1517"/>
      <c r="B43" s="66" t="s">
        <v>13</v>
      </c>
      <c r="C43" s="229">
        <v>0</v>
      </c>
      <c r="D43" s="231">
        <v>0</v>
      </c>
      <c r="E43" s="68">
        <v>0</v>
      </c>
      <c r="F43" s="69">
        <v>0</v>
      </c>
      <c r="G43" s="229">
        <v>0</v>
      </c>
      <c r="H43" s="231">
        <v>0</v>
      </c>
      <c r="I43" s="68">
        <v>0</v>
      </c>
      <c r="J43" s="69">
        <v>0</v>
      </c>
      <c r="K43" s="229">
        <v>0</v>
      </c>
      <c r="L43" s="231">
        <v>0</v>
      </c>
      <c r="M43" s="68">
        <v>0</v>
      </c>
      <c r="N43" s="72">
        <v>0</v>
      </c>
      <c r="O43" s="229">
        <v>0</v>
      </c>
      <c r="P43" s="231">
        <v>0</v>
      </c>
      <c r="Q43" s="68">
        <v>0</v>
      </c>
      <c r="R43" s="69">
        <v>0</v>
      </c>
      <c r="S43" s="10"/>
    </row>
    <row r="44" spans="1:19" ht="39.75" customHeight="1">
      <c r="A44" s="1517"/>
      <c r="B44" s="66" t="s">
        <v>14</v>
      </c>
      <c r="C44" s="229">
        <v>0</v>
      </c>
      <c r="D44" s="231">
        <v>0</v>
      </c>
      <c r="E44" s="68">
        <v>0</v>
      </c>
      <c r="F44" s="69">
        <v>0</v>
      </c>
      <c r="G44" s="229">
        <v>0</v>
      </c>
      <c r="H44" s="231">
        <v>0</v>
      </c>
      <c r="I44" s="68">
        <v>0</v>
      </c>
      <c r="J44" s="69">
        <v>0</v>
      </c>
      <c r="K44" s="229">
        <v>300</v>
      </c>
      <c r="L44" s="231">
        <v>0</v>
      </c>
      <c r="M44" s="68">
        <v>0</v>
      </c>
      <c r="N44" s="72">
        <v>0</v>
      </c>
      <c r="O44" s="229">
        <v>0</v>
      </c>
      <c r="P44" s="231">
        <v>0</v>
      </c>
      <c r="Q44" s="68">
        <v>0</v>
      </c>
      <c r="R44" s="69">
        <v>0</v>
      </c>
      <c r="S44" s="10"/>
    </row>
    <row r="45" spans="1:19" ht="39.75" customHeight="1">
      <c r="A45" s="1517"/>
      <c r="B45" s="66" t="s">
        <v>176</v>
      </c>
      <c r="C45" s="229">
        <v>0</v>
      </c>
      <c r="D45" s="231">
        <v>0</v>
      </c>
      <c r="E45" s="68">
        <v>0</v>
      </c>
      <c r="F45" s="69">
        <v>0</v>
      </c>
      <c r="G45" s="229">
        <v>0</v>
      </c>
      <c r="H45" s="231">
        <v>0</v>
      </c>
      <c r="I45" s="68">
        <v>0</v>
      </c>
      <c r="J45" s="69">
        <v>0</v>
      </c>
      <c r="K45" s="229">
        <v>0</v>
      </c>
      <c r="L45" s="231">
        <v>0</v>
      </c>
      <c r="M45" s="68">
        <v>0</v>
      </c>
      <c r="N45" s="72">
        <v>0</v>
      </c>
      <c r="O45" s="229">
        <v>0</v>
      </c>
      <c r="P45" s="231">
        <v>0</v>
      </c>
      <c r="Q45" s="68">
        <v>0</v>
      </c>
      <c r="R45" s="69">
        <v>0</v>
      </c>
      <c r="S45" s="10"/>
    </row>
    <row r="46" spans="1:19" ht="39.75" customHeight="1">
      <c r="A46" s="1517"/>
      <c r="B46" s="66" t="s">
        <v>177</v>
      </c>
      <c r="C46" s="229">
        <v>0</v>
      </c>
      <c r="D46" s="231">
        <v>0</v>
      </c>
      <c r="E46" s="68">
        <v>0</v>
      </c>
      <c r="F46" s="69">
        <v>0</v>
      </c>
      <c r="G46" s="229">
        <v>0</v>
      </c>
      <c r="H46" s="231">
        <v>0</v>
      </c>
      <c r="I46" s="68">
        <v>0</v>
      </c>
      <c r="J46" s="69">
        <v>0</v>
      </c>
      <c r="K46" s="229">
        <v>0</v>
      </c>
      <c r="L46" s="231">
        <v>0</v>
      </c>
      <c r="M46" s="68">
        <v>0</v>
      </c>
      <c r="N46" s="72">
        <v>0</v>
      </c>
      <c r="O46" s="229">
        <v>0</v>
      </c>
      <c r="P46" s="231">
        <v>0</v>
      </c>
      <c r="Q46" s="68">
        <v>0</v>
      </c>
      <c r="R46" s="69">
        <v>0</v>
      </c>
      <c r="S46" s="10"/>
    </row>
    <row r="47" spans="1:19" ht="39.75" customHeight="1">
      <c r="A47" s="1517"/>
      <c r="B47" s="66" t="s">
        <v>44</v>
      </c>
      <c r="C47" s="229">
        <v>0</v>
      </c>
      <c r="D47" s="231">
        <v>0</v>
      </c>
      <c r="E47" s="68">
        <v>0</v>
      </c>
      <c r="F47" s="69">
        <v>0</v>
      </c>
      <c r="G47" s="229">
        <v>0</v>
      </c>
      <c r="H47" s="231">
        <v>0</v>
      </c>
      <c r="I47" s="68">
        <v>0</v>
      </c>
      <c r="J47" s="69">
        <v>0</v>
      </c>
      <c r="K47" s="229">
        <v>300</v>
      </c>
      <c r="L47" s="231">
        <v>0</v>
      </c>
      <c r="M47" s="68">
        <v>0</v>
      </c>
      <c r="N47" s="72">
        <v>0</v>
      </c>
      <c r="O47" s="229">
        <v>1</v>
      </c>
      <c r="P47" s="231">
        <v>1</v>
      </c>
      <c r="Q47" s="68">
        <v>0</v>
      </c>
      <c r="R47" s="69">
        <v>0</v>
      </c>
      <c r="S47" s="10"/>
    </row>
    <row r="48" spans="1:19" ht="39.75" customHeight="1">
      <c r="A48" s="1517"/>
      <c r="B48" s="66" t="s">
        <v>15</v>
      </c>
      <c r="C48" s="229">
        <v>0</v>
      </c>
      <c r="D48" s="231">
        <v>0</v>
      </c>
      <c r="E48" s="68">
        <v>0</v>
      </c>
      <c r="F48" s="69">
        <v>0</v>
      </c>
      <c r="G48" s="229">
        <v>0</v>
      </c>
      <c r="H48" s="231">
        <v>0</v>
      </c>
      <c r="I48" s="68">
        <v>0</v>
      </c>
      <c r="J48" s="69">
        <v>0</v>
      </c>
      <c r="K48" s="229">
        <v>0</v>
      </c>
      <c r="L48" s="233">
        <v>0</v>
      </c>
      <c r="M48" s="233">
        <v>0</v>
      </c>
      <c r="N48" s="72">
        <v>0</v>
      </c>
      <c r="O48" s="229">
        <v>0</v>
      </c>
      <c r="P48" s="233">
        <v>0</v>
      </c>
      <c r="Q48" s="231">
        <v>0</v>
      </c>
      <c r="R48" s="69">
        <v>0</v>
      </c>
      <c r="S48" s="10"/>
    </row>
    <row r="49" spans="1:19" ht="39.75" customHeight="1">
      <c r="A49" s="1517"/>
      <c r="B49" s="66" t="s">
        <v>136</v>
      </c>
      <c r="C49" s="229">
        <v>0</v>
      </c>
      <c r="D49" s="231">
        <v>0</v>
      </c>
      <c r="E49" s="68">
        <v>0</v>
      </c>
      <c r="F49" s="69">
        <v>0</v>
      </c>
      <c r="G49" s="229">
        <v>0</v>
      </c>
      <c r="H49" s="231">
        <v>0</v>
      </c>
      <c r="I49" s="68">
        <v>0</v>
      </c>
      <c r="J49" s="69">
        <v>0</v>
      </c>
      <c r="K49" s="229">
        <v>0</v>
      </c>
      <c r="L49" s="233">
        <v>0</v>
      </c>
      <c r="M49" s="233">
        <v>0</v>
      </c>
      <c r="N49" s="72">
        <v>0</v>
      </c>
      <c r="O49" s="229">
        <v>0</v>
      </c>
      <c r="P49" s="233">
        <v>0</v>
      </c>
      <c r="Q49" s="231">
        <v>0</v>
      </c>
      <c r="R49" s="69">
        <v>0</v>
      </c>
      <c r="S49" s="10"/>
    </row>
    <row r="50" spans="1:19" ht="39.75" customHeight="1">
      <c r="A50" s="1517"/>
      <c r="B50" s="66" t="s">
        <v>16</v>
      </c>
      <c r="C50" s="229">
        <v>0</v>
      </c>
      <c r="D50" s="231">
        <v>0</v>
      </c>
      <c r="E50" s="68">
        <v>0</v>
      </c>
      <c r="F50" s="69">
        <v>0</v>
      </c>
      <c r="G50" s="229">
        <v>0</v>
      </c>
      <c r="H50" s="231">
        <v>0</v>
      </c>
      <c r="I50" s="68">
        <v>0</v>
      </c>
      <c r="J50" s="69">
        <v>0</v>
      </c>
      <c r="K50" s="229">
        <v>10000</v>
      </c>
      <c r="L50" s="231">
        <v>14500</v>
      </c>
      <c r="M50" s="68">
        <v>17339</v>
      </c>
      <c r="N50" s="72">
        <f>M50/L50</f>
        <v>1.1957931034482758</v>
      </c>
      <c r="O50" s="229">
        <v>0</v>
      </c>
      <c r="P50" s="231">
        <v>0</v>
      </c>
      <c r="Q50" s="68">
        <v>0</v>
      </c>
      <c r="R50" s="69">
        <v>0</v>
      </c>
      <c r="S50" s="10"/>
    </row>
    <row r="51" spans="1:19" ht="39.75" customHeight="1">
      <c r="A51" s="1517"/>
      <c r="B51" s="66" t="s">
        <v>178</v>
      </c>
      <c r="C51" s="229">
        <v>0</v>
      </c>
      <c r="D51" s="231">
        <v>0</v>
      </c>
      <c r="E51" s="68">
        <v>0</v>
      </c>
      <c r="F51" s="69">
        <v>0</v>
      </c>
      <c r="G51" s="229">
        <v>0</v>
      </c>
      <c r="H51" s="231">
        <v>0</v>
      </c>
      <c r="I51" s="68">
        <v>0</v>
      </c>
      <c r="J51" s="69">
        <v>0</v>
      </c>
      <c r="K51" s="229">
        <v>0</v>
      </c>
      <c r="L51" s="231">
        <v>0</v>
      </c>
      <c r="M51" s="68">
        <v>0</v>
      </c>
      <c r="N51" s="69">
        <v>0</v>
      </c>
      <c r="O51" s="229">
        <v>0</v>
      </c>
      <c r="P51" s="231">
        <v>0</v>
      </c>
      <c r="Q51" s="68">
        <v>0</v>
      </c>
      <c r="R51" s="69">
        <v>0</v>
      </c>
      <c r="S51" s="10"/>
    </row>
    <row r="52" spans="1:19" ht="39.75" customHeight="1">
      <c r="A52" s="1517"/>
      <c r="B52" s="66" t="s">
        <v>133</v>
      </c>
      <c r="C52" s="229">
        <v>0</v>
      </c>
      <c r="D52" s="231">
        <v>0</v>
      </c>
      <c r="E52" s="68">
        <v>0</v>
      </c>
      <c r="F52" s="69">
        <v>0</v>
      </c>
      <c r="G52" s="229">
        <v>0</v>
      </c>
      <c r="H52" s="231">
        <v>0</v>
      </c>
      <c r="I52" s="68">
        <v>0</v>
      </c>
      <c r="J52" s="69">
        <v>0</v>
      </c>
      <c r="K52" s="229">
        <v>0</v>
      </c>
      <c r="L52" s="231">
        <v>0</v>
      </c>
      <c r="M52" s="68">
        <v>0</v>
      </c>
      <c r="N52" s="69">
        <v>0</v>
      </c>
      <c r="O52" s="229">
        <v>0</v>
      </c>
      <c r="P52" s="231">
        <v>0</v>
      </c>
      <c r="Q52" s="68">
        <v>0</v>
      </c>
      <c r="R52" s="69">
        <v>0</v>
      </c>
      <c r="S52" s="10"/>
    </row>
    <row r="53" spans="1:19" ht="39.75" customHeight="1">
      <c r="A53" s="1517"/>
      <c r="B53" s="234" t="s">
        <v>132</v>
      </c>
      <c r="C53" s="236">
        <v>0</v>
      </c>
      <c r="D53" s="237">
        <v>0</v>
      </c>
      <c r="E53" s="120">
        <v>0</v>
      </c>
      <c r="F53" s="121">
        <v>0</v>
      </c>
      <c r="G53" s="236">
        <v>0</v>
      </c>
      <c r="H53" s="237">
        <v>0</v>
      </c>
      <c r="I53" s="120">
        <v>0</v>
      </c>
      <c r="J53" s="121">
        <v>0</v>
      </c>
      <c r="K53" s="236">
        <v>0</v>
      </c>
      <c r="L53" s="237">
        <v>0</v>
      </c>
      <c r="M53" s="120">
        <v>-24343</v>
      </c>
      <c r="N53" s="238">
        <v>0</v>
      </c>
      <c r="O53" s="236">
        <v>0</v>
      </c>
      <c r="P53" s="237">
        <v>0</v>
      </c>
      <c r="Q53" s="120">
        <v>0</v>
      </c>
      <c r="R53" s="238">
        <v>0</v>
      </c>
      <c r="S53" s="10"/>
    </row>
    <row r="54" spans="1:19" ht="39.75" customHeight="1">
      <c r="A54" s="1518"/>
      <c r="B54" s="11" t="s">
        <v>42</v>
      </c>
      <c r="C54" s="239">
        <f>SUM(C38:C53)</f>
        <v>0</v>
      </c>
      <c r="D54" s="240">
        <f>SUM(D38:D53)</f>
        <v>0</v>
      </c>
      <c r="E54" s="73">
        <f>SUM(E38:E53)</f>
        <v>0</v>
      </c>
      <c r="F54" s="74">
        <v>0</v>
      </c>
      <c r="G54" s="239">
        <f>SUM(G38:G53)</f>
        <v>0</v>
      </c>
      <c r="H54" s="240">
        <f>SUM(H38:H53)</f>
        <v>0</v>
      </c>
      <c r="I54" s="73">
        <f>SUM(I38:I53)</f>
        <v>0</v>
      </c>
      <c r="J54" s="74">
        <v>0</v>
      </c>
      <c r="K54" s="239">
        <f>SUM(K38:K53)</f>
        <v>11600</v>
      </c>
      <c r="L54" s="240">
        <f>SUM(L38:L53)</f>
        <v>15500</v>
      </c>
      <c r="M54" s="76">
        <f>SUM(M38:M53)</f>
        <v>-6000</v>
      </c>
      <c r="N54" s="75">
        <v>0</v>
      </c>
      <c r="O54" s="239">
        <f>SUM(O38:O53)</f>
        <v>1</v>
      </c>
      <c r="P54" s="240">
        <f>SUM(P38:P53)</f>
        <v>1</v>
      </c>
      <c r="Q54" s="76">
        <f>SUM(Q38:Q53)</f>
        <v>0</v>
      </c>
      <c r="R54" s="253">
        <v>0</v>
      </c>
      <c r="S54" s="10"/>
    </row>
    <row r="55" spans="1:19" ht="39.75" customHeight="1">
      <c r="A55" s="1516" t="s">
        <v>39</v>
      </c>
      <c r="B55" s="65" t="s">
        <v>7</v>
      </c>
      <c r="C55" s="226">
        <v>0</v>
      </c>
      <c r="D55" s="242">
        <v>0</v>
      </c>
      <c r="E55" s="77">
        <v>0</v>
      </c>
      <c r="F55" s="78">
        <v>0</v>
      </c>
      <c r="G55" s="226">
        <v>0</v>
      </c>
      <c r="H55" s="242">
        <v>0</v>
      </c>
      <c r="I55" s="77">
        <v>0</v>
      </c>
      <c r="J55" s="78">
        <v>0</v>
      </c>
      <c r="K55" s="226">
        <v>4500</v>
      </c>
      <c r="L55" s="242">
        <v>4500</v>
      </c>
      <c r="M55" s="77">
        <v>3617</v>
      </c>
      <c r="N55" s="78">
        <f>M55/L55</f>
        <v>0.8037777777777778</v>
      </c>
      <c r="O55" s="226">
        <v>0</v>
      </c>
      <c r="P55" s="242">
        <v>0</v>
      </c>
      <c r="Q55" s="77">
        <v>0</v>
      </c>
      <c r="R55" s="78">
        <v>0</v>
      </c>
      <c r="S55" s="10"/>
    </row>
    <row r="56" spans="1:19" ht="39.75" customHeight="1">
      <c r="A56" s="1517"/>
      <c r="B56" s="66" t="s">
        <v>19</v>
      </c>
      <c r="C56" s="229">
        <v>20</v>
      </c>
      <c r="D56" s="231">
        <v>0</v>
      </c>
      <c r="E56" s="68">
        <v>0</v>
      </c>
      <c r="F56" s="72">
        <v>0</v>
      </c>
      <c r="G56" s="229">
        <v>0</v>
      </c>
      <c r="H56" s="231">
        <v>20</v>
      </c>
      <c r="I56" s="68">
        <v>31</v>
      </c>
      <c r="J56" s="72">
        <f>I56/H56</f>
        <v>1.55</v>
      </c>
      <c r="K56" s="229">
        <v>0</v>
      </c>
      <c r="L56" s="231">
        <v>0</v>
      </c>
      <c r="M56" s="68">
        <v>0</v>
      </c>
      <c r="N56" s="69">
        <v>0</v>
      </c>
      <c r="O56" s="229">
        <v>0</v>
      </c>
      <c r="P56" s="231">
        <v>0</v>
      </c>
      <c r="Q56" s="68">
        <v>0</v>
      </c>
      <c r="R56" s="69">
        <v>0</v>
      </c>
      <c r="S56" s="10"/>
    </row>
    <row r="57" spans="1:19" ht="39.75" customHeight="1">
      <c r="A57" s="1517"/>
      <c r="B57" s="66" t="s">
        <v>8</v>
      </c>
      <c r="C57" s="229">
        <v>0</v>
      </c>
      <c r="D57" s="231">
        <v>0</v>
      </c>
      <c r="E57" s="68">
        <v>0</v>
      </c>
      <c r="F57" s="69">
        <v>0</v>
      </c>
      <c r="G57" s="229">
        <v>0</v>
      </c>
      <c r="H57" s="231">
        <v>0</v>
      </c>
      <c r="I57" s="68">
        <v>0</v>
      </c>
      <c r="J57" s="69">
        <v>0</v>
      </c>
      <c r="K57" s="229">
        <v>0</v>
      </c>
      <c r="L57" s="231">
        <v>0</v>
      </c>
      <c r="M57" s="68">
        <v>0</v>
      </c>
      <c r="N57" s="81">
        <v>0</v>
      </c>
      <c r="O57" s="229">
        <v>0</v>
      </c>
      <c r="P57" s="231">
        <v>0</v>
      </c>
      <c r="Q57" s="68">
        <v>0</v>
      </c>
      <c r="R57" s="81">
        <v>0</v>
      </c>
      <c r="S57" s="10"/>
    </row>
    <row r="58" spans="1:19" ht="39.75" customHeight="1">
      <c r="A58" s="1517"/>
      <c r="B58" s="66" t="s">
        <v>9</v>
      </c>
      <c r="C58" s="229">
        <v>0</v>
      </c>
      <c r="D58" s="231">
        <v>0</v>
      </c>
      <c r="E58" s="68">
        <v>0</v>
      </c>
      <c r="F58" s="69">
        <v>0</v>
      </c>
      <c r="G58" s="229">
        <v>0</v>
      </c>
      <c r="H58" s="231">
        <v>0</v>
      </c>
      <c r="I58" s="68">
        <v>0</v>
      </c>
      <c r="J58" s="69">
        <v>0</v>
      </c>
      <c r="K58" s="229">
        <v>0</v>
      </c>
      <c r="L58" s="231">
        <v>0</v>
      </c>
      <c r="M58" s="68">
        <v>0</v>
      </c>
      <c r="N58" s="81">
        <v>0</v>
      </c>
      <c r="O58" s="229">
        <v>0</v>
      </c>
      <c r="P58" s="231">
        <v>0</v>
      </c>
      <c r="Q58" s="68">
        <v>0</v>
      </c>
      <c r="R58" s="81">
        <v>0</v>
      </c>
      <c r="S58" s="10"/>
    </row>
    <row r="59" spans="1:19" ht="39.75" customHeight="1">
      <c r="A59" s="1517"/>
      <c r="B59" s="66" t="s">
        <v>47</v>
      </c>
      <c r="C59" s="229">
        <v>0</v>
      </c>
      <c r="D59" s="231">
        <v>0</v>
      </c>
      <c r="E59" s="68">
        <v>0</v>
      </c>
      <c r="F59" s="69">
        <v>0</v>
      </c>
      <c r="G59" s="229">
        <v>0</v>
      </c>
      <c r="H59" s="231">
        <v>0</v>
      </c>
      <c r="I59" s="68">
        <v>0</v>
      </c>
      <c r="J59" s="69">
        <v>0</v>
      </c>
      <c r="K59" s="229">
        <v>0</v>
      </c>
      <c r="L59" s="231">
        <v>0</v>
      </c>
      <c r="M59" s="68">
        <v>0</v>
      </c>
      <c r="N59" s="72">
        <v>0</v>
      </c>
      <c r="O59" s="229">
        <v>20</v>
      </c>
      <c r="P59" s="231">
        <v>20</v>
      </c>
      <c r="Q59" s="68">
        <v>5</v>
      </c>
      <c r="R59" s="72">
        <f>Q59/P59</f>
        <v>0.25</v>
      </c>
      <c r="S59" s="10"/>
    </row>
    <row r="60" spans="1:19" ht="39.75" customHeight="1">
      <c r="A60" s="1517"/>
      <c r="B60" s="66" t="s">
        <v>45</v>
      </c>
      <c r="C60" s="229">
        <v>0</v>
      </c>
      <c r="D60" s="231">
        <v>0</v>
      </c>
      <c r="E60" s="68">
        <v>0</v>
      </c>
      <c r="F60" s="69">
        <v>0</v>
      </c>
      <c r="G60" s="229">
        <v>0</v>
      </c>
      <c r="H60" s="231">
        <v>0</v>
      </c>
      <c r="I60" s="68">
        <v>0</v>
      </c>
      <c r="J60" s="69">
        <v>0</v>
      </c>
      <c r="K60" s="229">
        <v>280000</v>
      </c>
      <c r="L60" s="231">
        <v>567390</v>
      </c>
      <c r="M60" s="68">
        <v>766054</v>
      </c>
      <c r="N60" s="72">
        <f>M60/L60</f>
        <v>1.350136590352315</v>
      </c>
      <c r="O60" s="229">
        <v>0</v>
      </c>
      <c r="P60" s="231">
        <v>0</v>
      </c>
      <c r="Q60" s="68">
        <v>0</v>
      </c>
      <c r="R60" s="69">
        <v>0</v>
      </c>
      <c r="S60" s="10"/>
    </row>
    <row r="61" spans="1:19" ht="39.75" customHeight="1">
      <c r="A61" s="1517"/>
      <c r="B61" s="66" t="s">
        <v>461</v>
      </c>
      <c r="C61" s="229">
        <v>0</v>
      </c>
      <c r="D61" s="231">
        <v>0</v>
      </c>
      <c r="E61" s="68">
        <v>0</v>
      </c>
      <c r="F61" s="69">
        <v>0</v>
      </c>
      <c r="G61" s="229">
        <v>0</v>
      </c>
      <c r="H61" s="231">
        <v>0</v>
      </c>
      <c r="I61" s="68">
        <v>0</v>
      </c>
      <c r="J61" s="69">
        <v>0</v>
      </c>
      <c r="K61" s="229">
        <v>76700</v>
      </c>
      <c r="L61" s="231">
        <v>150685</v>
      </c>
      <c r="M61" s="68">
        <v>168491</v>
      </c>
      <c r="N61" s="72">
        <f>M61/L61</f>
        <v>1.1181670371968013</v>
      </c>
      <c r="O61" s="229">
        <v>0</v>
      </c>
      <c r="P61" s="231">
        <v>0</v>
      </c>
      <c r="Q61" s="68">
        <v>0</v>
      </c>
      <c r="R61" s="69">
        <v>0</v>
      </c>
      <c r="S61" s="10"/>
    </row>
    <row r="62" spans="1:19" ht="39.75" customHeight="1">
      <c r="A62" s="1517"/>
      <c r="B62" s="66" t="s">
        <v>228</v>
      </c>
      <c r="C62" s="229">
        <v>0</v>
      </c>
      <c r="D62" s="231">
        <v>0</v>
      </c>
      <c r="E62" s="68">
        <v>0</v>
      </c>
      <c r="F62" s="69">
        <v>0</v>
      </c>
      <c r="G62" s="229">
        <v>0</v>
      </c>
      <c r="H62" s="231">
        <v>0</v>
      </c>
      <c r="I62" s="68">
        <v>0</v>
      </c>
      <c r="J62" s="69">
        <v>0</v>
      </c>
      <c r="K62" s="229">
        <v>0</v>
      </c>
      <c r="L62" s="231">
        <v>0</v>
      </c>
      <c r="M62" s="68">
        <v>0</v>
      </c>
      <c r="N62" s="72">
        <v>0</v>
      </c>
      <c r="O62" s="229">
        <v>0</v>
      </c>
      <c r="P62" s="231">
        <v>0</v>
      </c>
      <c r="Q62" s="68">
        <v>0</v>
      </c>
      <c r="R62" s="69">
        <v>0</v>
      </c>
      <c r="S62" s="10"/>
    </row>
    <row r="63" spans="1:19" ht="39.75" customHeight="1">
      <c r="A63" s="1517"/>
      <c r="B63" s="66" t="s">
        <v>10</v>
      </c>
      <c r="C63" s="229">
        <v>0</v>
      </c>
      <c r="D63" s="231">
        <v>0</v>
      </c>
      <c r="E63" s="68">
        <v>0</v>
      </c>
      <c r="F63" s="69">
        <v>0</v>
      </c>
      <c r="G63" s="229">
        <v>0</v>
      </c>
      <c r="H63" s="231">
        <v>0</v>
      </c>
      <c r="I63" s="68">
        <v>0</v>
      </c>
      <c r="J63" s="69">
        <v>0</v>
      </c>
      <c r="K63" s="229">
        <v>100</v>
      </c>
      <c r="L63" s="231">
        <v>100</v>
      </c>
      <c r="M63" s="68">
        <v>0</v>
      </c>
      <c r="N63" s="69">
        <v>0</v>
      </c>
      <c r="O63" s="229">
        <v>0</v>
      </c>
      <c r="P63" s="231">
        <v>0</v>
      </c>
      <c r="Q63" s="68">
        <v>0</v>
      </c>
      <c r="R63" s="69">
        <v>0</v>
      </c>
      <c r="S63" s="10"/>
    </row>
    <row r="64" spans="1:19" ht="39.75" customHeight="1">
      <c r="A64" s="1517"/>
      <c r="B64" s="66" t="s">
        <v>46</v>
      </c>
      <c r="C64" s="229">
        <v>0</v>
      </c>
      <c r="D64" s="231">
        <v>0</v>
      </c>
      <c r="E64" s="68">
        <v>0</v>
      </c>
      <c r="F64" s="69">
        <v>0</v>
      </c>
      <c r="G64" s="229">
        <v>0</v>
      </c>
      <c r="H64" s="231">
        <v>0</v>
      </c>
      <c r="I64" s="68">
        <v>0</v>
      </c>
      <c r="J64" s="69">
        <v>0</v>
      </c>
      <c r="K64" s="229">
        <v>0</v>
      </c>
      <c r="L64" s="231">
        <v>0</v>
      </c>
      <c r="M64" s="68">
        <v>0</v>
      </c>
      <c r="N64" s="69">
        <v>0</v>
      </c>
      <c r="O64" s="229">
        <v>0</v>
      </c>
      <c r="P64" s="231">
        <v>0</v>
      </c>
      <c r="Q64" s="68">
        <v>0</v>
      </c>
      <c r="R64" s="69">
        <v>0</v>
      </c>
      <c r="S64" s="10"/>
    </row>
    <row r="65" spans="1:19" ht="39.75" customHeight="1">
      <c r="A65" s="1517"/>
      <c r="B65" s="79" t="s">
        <v>135</v>
      </c>
      <c r="C65" s="243">
        <v>0</v>
      </c>
      <c r="D65" s="244">
        <v>0</v>
      </c>
      <c r="E65" s="80">
        <v>0</v>
      </c>
      <c r="F65" s="81">
        <v>0</v>
      </c>
      <c r="G65" s="243">
        <v>0</v>
      </c>
      <c r="H65" s="244">
        <v>0</v>
      </c>
      <c r="I65" s="80">
        <v>0</v>
      </c>
      <c r="J65" s="81">
        <v>0</v>
      </c>
      <c r="K65" s="243">
        <v>0</v>
      </c>
      <c r="L65" s="244">
        <v>0</v>
      </c>
      <c r="M65" s="80">
        <v>0</v>
      </c>
      <c r="N65" s="81">
        <v>0</v>
      </c>
      <c r="O65" s="243">
        <v>0</v>
      </c>
      <c r="P65" s="244">
        <v>0</v>
      </c>
      <c r="Q65" s="80">
        <v>0</v>
      </c>
      <c r="R65" s="81">
        <v>0</v>
      </c>
      <c r="S65" s="10"/>
    </row>
    <row r="66" spans="1:19" ht="39.75" customHeight="1">
      <c r="A66" s="1517"/>
      <c r="B66" s="407" t="s">
        <v>476</v>
      </c>
      <c r="C66" s="372">
        <v>0</v>
      </c>
      <c r="D66" s="408">
        <v>0</v>
      </c>
      <c r="E66" s="409">
        <v>0</v>
      </c>
      <c r="F66" s="410">
        <v>0</v>
      </c>
      <c r="G66" s="372">
        <v>0</v>
      </c>
      <c r="H66" s="408">
        <v>0</v>
      </c>
      <c r="I66" s="409">
        <v>0</v>
      </c>
      <c r="J66" s="410">
        <v>0</v>
      </c>
      <c r="K66" s="372">
        <v>0</v>
      </c>
      <c r="L66" s="411">
        <v>0</v>
      </c>
      <c r="M66" s="409">
        <v>0</v>
      </c>
      <c r="N66" s="410">
        <v>0</v>
      </c>
      <c r="O66" s="372">
        <v>0</v>
      </c>
      <c r="P66" s="408">
        <v>0</v>
      </c>
      <c r="Q66" s="409">
        <v>0</v>
      </c>
      <c r="R66" s="410">
        <v>0</v>
      </c>
      <c r="S66" s="10"/>
    </row>
    <row r="67" spans="1:19" ht="57.75" customHeight="1">
      <c r="A67" s="1518"/>
      <c r="B67" s="1137" t="s">
        <v>42</v>
      </c>
      <c r="C67" s="1138">
        <f>SUM(C55:C66)</f>
        <v>20</v>
      </c>
      <c r="D67" s="1139">
        <f>SUM(D55:D66)</f>
        <v>0</v>
      </c>
      <c r="E67" s="1140">
        <f>SUM(E55:E66)</f>
        <v>0</v>
      </c>
      <c r="F67" s="1141">
        <v>0</v>
      </c>
      <c r="G67" s="1138">
        <f>SUM(G55:G66)</f>
        <v>0</v>
      </c>
      <c r="H67" s="1139">
        <f>SUM(H55:H66)</f>
        <v>20</v>
      </c>
      <c r="I67" s="1140">
        <f>SUM(I55:I66)</f>
        <v>31</v>
      </c>
      <c r="J67" s="1141">
        <f>I67/H67</f>
        <v>1.55</v>
      </c>
      <c r="K67" s="1146">
        <f>SUM(K55:K66)</f>
        <v>361300</v>
      </c>
      <c r="L67" s="1147">
        <f>SUM(L55:L66)</f>
        <v>722675</v>
      </c>
      <c r="M67" s="1148">
        <f>SUM(M55:M66)</f>
        <v>938162</v>
      </c>
      <c r="N67" s="1141">
        <f>M67/L67</f>
        <v>1.2981796796623655</v>
      </c>
      <c r="O67" s="1138">
        <f>SUM(O55:O66)</f>
        <v>20</v>
      </c>
      <c r="P67" s="1139">
        <f>SUM(P55:P66)</f>
        <v>20</v>
      </c>
      <c r="Q67" s="1140">
        <f>SUM(Q55:Q66)</f>
        <v>5</v>
      </c>
      <c r="R67" s="1141">
        <f>Q67/P67</f>
        <v>0.25</v>
      </c>
      <c r="S67" s="10"/>
    </row>
    <row r="68" spans="1:19" ht="81.75" customHeight="1">
      <c r="A68" s="1533" t="s">
        <v>738</v>
      </c>
      <c r="B68" s="1533"/>
      <c r="C68" s="1533"/>
      <c r="D68" s="1533"/>
      <c r="E68" s="1533"/>
      <c r="F68" s="1533"/>
      <c r="G68" s="1533"/>
      <c r="H68" s="1533"/>
      <c r="I68" s="1533"/>
      <c r="J68" s="1533"/>
      <c r="K68" s="1533"/>
      <c r="L68" s="1533"/>
      <c r="M68" s="1533"/>
      <c r="N68" s="378" t="s">
        <v>739</v>
      </c>
      <c r="O68" s="424"/>
      <c r="P68" s="424"/>
      <c r="Q68" s="424"/>
      <c r="R68" s="378"/>
      <c r="S68" s="10"/>
    </row>
    <row r="69" spans="1:18" ht="36" customHeight="1">
      <c r="A69" s="1519" t="s">
        <v>26</v>
      </c>
      <c r="B69" s="1520"/>
      <c r="C69" s="1521" t="s">
        <v>104</v>
      </c>
      <c r="D69" s="1522"/>
      <c r="E69" s="1522"/>
      <c r="F69" s="1523"/>
      <c r="G69" s="1524" t="s">
        <v>477</v>
      </c>
      <c r="H69" s="1525"/>
      <c r="I69" s="1525"/>
      <c r="J69" s="1526"/>
      <c r="K69" s="1524" t="s">
        <v>48</v>
      </c>
      <c r="L69" s="1525"/>
      <c r="M69" s="1525"/>
      <c r="N69" s="1526"/>
      <c r="O69" s="1531"/>
      <c r="P69" s="1532"/>
      <c r="Q69" s="1532"/>
      <c r="R69" s="1532"/>
    </row>
    <row r="70" spans="1:18" ht="36" customHeight="1">
      <c r="A70" s="1520"/>
      <c r="B70" s="1520"/>
      <c r="C70" s="1130" t="s">
        <v>27</v>
      </c>
      <c r="D70" s="1131" t="s">
        <v>28</v>
      </c>
      <c r="E70" s="1131" t="s">
        <v>29</v>
      </c>
      <c r="F70" s="1133" t="s">
        <v>31</v>
      </c>
      <c r="G70" s="1130" t="s">
        <v>27</v>
      </c>
      <c r="H70" s="1131" t="s">
        <v>28</v>
      </c>
      <c r="I70" s="1131" t="s">
        <v>29</v>
      </c>
      <c r="J70" s="1132" t="s">
        <v>30</v>
      </c>
      <c r="K70" s="1130" t="s">
        <v>27</v>
      </c>
      <c r="L70" s="1134" t="s">
        <v>28</v>
      </c>
      <c r="M70" s="1135" t="s">
        <v>29</v>
      </c>
      <c r="N70" s="1136" t="s">
        <v>30</v>
      </c>
      <c r="O70" s="379"/>
      <c r="P70" s="380"/>
      <c r="Q70" s="380"/>
      <c r="R70" s="381"/>
    </row>
    <row r="71" spans="1:18" ht="39.75" customHeight="1">
      <c r="A71" s="1513" t="s">
        <v>38</v>
      </c>
      <c r="B71" s="65" t="s">
        <v>49</v>
      </c>
      <c r="C71" s="226">
        <v>0</v>
      </c>
      <c r="D71" s="228">
        <v>0</v>
      </c>
      <c r="E71" s="71">
        <v>0</v>
      </c>
      <c r="F71" s="72">
        <v>0</v>
      </c>
      <c r="G71" s="226">
        <v>0</v>
      </c>
      <c r="H71" s="228">
        <v>0</v>
      </c>
      <c r="I71" s="71">
        <v>0</v>
      </c>
      <c r="J71" s="72">
        <v>0</v>
      </c>
      <c r="K71" s="249">
        <f aca="true" t="shared" si="2" ref="K71:K86">G71+C71+O38+K38+G38+C38+O4+K4+G4+C4</f>
        <v>15000</v>
      </c>
      <c r="L71" s="418">
        <f aca="true" t="shared" si="3" ref="L71:L100">H71+D71+P38+L38+H38+D38+P4+L4+H4+D4</f>
        <v>8000</v>
      </c>
      <c r="M71" s="412">
        <f aca="true" t="shared" si="4" ref="M71:M100">I71+E71+Q38+M38+I38+E38+Q4+M4+I4+E4</f>
        <v>7479</v>
      </c>
      <c r="N71" s="373">
        <f>M71/L71</f>
        <v>0.934875</v>
      </c>
      <c r="O71" s="326"/>
      <c r="P71" s="371"/>
      <c r="Q71" s="371"/>
      <c r="R71" s="374"/>
    </row>
    <row r="72" spans="1:18" ht="39.75" customHeight="1">
      <c r="A72" s="1514"/>
      <c r="B72" s="66" t="s">
        <v>50</v>
      </c>
      <c r="C72" s="229">
        <v>0</v>
      </c>
      <c r="D72" s="231">
        <v>0</v>
      </c>
      <c r="E72" s="68">
        <v>0</v>
      </c>
      <c r="F72" s="69">
        <v>0</v>
      </c>
      <c r="G72" s="229">
        <v>0</v>
      </c>
      <c r="H72" s="231">
        <v>0</v>
      </c>
      <c r="I72" s="68">
        <v>0</v>
      </c>
      <c r="J72" s="69">
        <v>0</v>
      </c>
      <c r="K72" s="249">
        <f t="shared" si="2"/>
        <v>3000</v>
      </c>
      <c r="L72" s="419">
        <f t="shared" si="3"/>
        <v>700</v>
      </c>
      <c r="M72" s="105">
        <f t="shared" si="4"/>
        <v>245</v>
      </c>
      <c r="N72" s="376">
        <f aca="true" t="shared" si="5" ref="N72:N100">M72/L72</f>
        <v>0.35</v>
      </c>
      <c r="O72" s="326"/>
      <c r="P72" s="371"/>
      <c r="Q72" s="371"/>
      <c r="R72" s="374"/>
    </row>
    <row r="73" spans="1:18" ht="39.75" customHeight="1">
      <c r="A73" s="1514"/>
      <c r="B73" s="67" t="s">
        <v>43</v>
      </c>
      <c r="C73" s="229">
        <v>0</v>
      </c>
      <c r="D73" s="231">
        <v>0</v>
      </c>
      <c r="E73" s="68">
        <v>0</v>
      </c>
      <c r="F73" s="69">
        <v>0</v>
      </c>
      <c r="G73" s="229">
        <v>0</v>
      </c>
      <c r="H73" s="231">
        <v>0</v>
      </c>
      <c r="I73" s="68">
        <v>0</v>
      </c>
      <c r="J73" s="69">
        <v>0</v>
      </c>
      <c r="K73" s="249">
        <f t="shared" si="2"/>
        <v>1200</v>
      </c>
      <c r="L73" s="419">
        <f t="shared" si="3"/>
        <v>1200</v>
      </c>
      <c r="M73" s="105">
        <f t="shared" si="4"/>
        <v>1217</v>
      </c>
      <c r="N73" s="376">
        <f t="shared" si="5"/>
        <v>1.0141666666666667</v>
      </c>
      <c r="O73" s="326"/>
      <c r="P73" s="371"/>
      <c r="Q73" s="371"/>
      <c r="R73" s="374"/>
    </row>
    <row r="74" spans="1:18" ht="39.75" customHeight="1">
      <c r="A74" s="1514"/>
      <c r="B74" s="66" t="s">
        <v>11</v>
      </c>
      <c r="C74" s="229">
        <v>0</v>
      </c>
      <c r="D74" s="231">
        <v>0</v>
      </c>
      <c r="E74" s="68">
        <v>0</v>
      </c>
      <c r="F74" s="69">
        <v>0</v>
      </c>
      <c r="G74" s="229">
        <v>0</v>
      </c>
      <c r="H74" s="231">
        <v>0</v>
      </c>
      <c r="I74" s="68">
        <v>0</v>
      </c>
      <c r="J74" s="69">
        <v>0</v>
      </c>
      <c r="K74" s="249">
        <f t="shared" si="2"/>
        <v>3000</v>
      </c>
      <c r="L74" s="419">
        <f t="shared" si="3"/>
        <v>1600</v>
      </c>
      <c r="M74" s="105">
        <f t="shared" si="4"/>
        <v>1146</v>
      </c>
      <c r="N74" s="376">
        <f t="shared" si="5"/>
        <v>0.71625</v>
      </c>
      <c r="O74" s="326"/>
      <c r="P74" s="371"/>
      <c r="Q74" s="371"/>
      <c r="R74" s="374"/>
    </row>
    <row r="75" spans="1:18" ht="39.75" customHeight="1">
      <c r="A75" s="1514"/>
      <c r="B75" s="66" t="s">
        <v>12</v>
      </c>
      <c r="C75" s="229">
        <v>0</v>
      </c>
      <c r="D75" s="231">
        <v>0</v>
      </c>
      <c r="E75" s="68">
        <v>0</v>
      </c>
      <c r="F75" s="69">
        <v>0</v>
      </c>
      <c r="G75" s="229">
        <v>0</v>
      </c>
      <c r="H75" s="231">
        <v>0</v>
      </c>
      <c r="I75" s="68">
        <v>0</v>
      </c>
      <c r="J75" s="69">
        <v>0</v>
      </c>
      <c r="K75" s="249">
        <f t="shared" si="2"/>
        <v>200</v>
      </c>
      <c r="L75" s="419">
        <f t="shared" si="3"/>
        <v>200</v>
      </c>
      <c r="M75" s="105">
        <f t="shared" si="4"/>
        <v>75</v>
      </c>
      <c r="N75" s="376">
        <f t="shared" si="5"/>
        <v>0.375</v>
      </c>
      <c r="O75" s="326"/>
      <c r="P75" s="371"/>
      <c r="Q75" s="371"/>
      <c r="R75" s="374"/>
    </row>
    <row r="76" spans="1:18" ht="39.75" customHeight="1">
      <c r="A76" s="1514"/>
      <c r="B76" s="66" t="s">
        <v>13</v>
      </c>
      <c r="C76" s="229">
        <v>0</v>
      </c>
      <c r="D76" s="231">
        <v>0</v>
      </c>
      <c r="E76" s="68">
        <v>0</v>
      </c>
      <c r="F76" s="69">
        <v>0</v>
      </c>
      <c r="G76" s="229">
        <v>0</v>
      </c>
      <c r="H76" s="231">
        <v>0</v>
      </c>
      <c r="I76" s="68">
        <v>0</v>
      </c>
      <c r="J76" s="69">
        <v>0</v>
      </c>
      <c r="K76" s="249">
        <f t="shared" si="2"/>
        <v>200</v>
      </c>
      <c r="L76" s="419">
        <f t="shared" si="3"/>
        <v>0</v>
      </c>
      <c r="M76" s="105">
        <f t="shared" si="4"/>
        <v>0</v>
      </c>
      <c r="N76" s="376">
        <v>0</v>
      </c>
      <c r="O76" s="326"/>
      <c r="P76" s="371"/>
      <c r="Q76" s="371"/>
      <c r="R76" s="374"/>
    </row>
    <row r="77" spans="1:18" ht="39.75" customHeight="1">
      <c r="A77" s="1514"/>
      <c r="B77" s="66" t="s">
        <v>14</v>
      </c>
      <c r="C77" s="229">
        <v>80</v>
      </c>
      <c r="D77" s="231">
        <v>80</v>
      </c>
      <c r="E77" s="68">
        <v>42</v>
      </c>
      <c r="F77" s="72">
        <f>E77/D77</f>
        <v>0.525</v>
      </c>
      <c r="G77" s="229">
        <v>0</v>
      </c>
      <c r="H77" s="231">
        <v>0</v>
      </c>
      <c r="I77" s="68">
        <v>0</v>
      </c>
      <c r="J77" s="72">
        <v>0</v>
      </c>
      <c r="K77" s="249">
        <f t="shared" si="2"/>
        <v>9782.4</v>
      </c>
      <c r="L77" s="419">
        <f t="shared" si="3"/>
        <v>6483.4</v>
      </c>
      <c r="M77" s="105">
        <f t="shared" si="4"/>
        <v>2998</v>
      </c>
      <c r="N77" s="376">
        <f t="shared" si="5"/>
        <v>0.4624116975660919</v>
      </c>
      <c r="O77" s="326"/>
      <c r="P77" s="371"/>
      <c r="Q77" s="371"/>
      <c r="R77" s="374"/>
    </row>
    <row r="78" spans="1:18" ht="39.75" customHeight="1">
      <c r="A78" s="1514"/>
      <c r="B78" s="66" t="s">
        <v>176</v>
      </c>
      <c r="C78" s="229">
        <v>0</v>
      </c>
      <c r="D78" s="231">
        <v>0</v>
      </c>
      <c r="E78" s="68">
        <v>0</v>
      </c>
      <c r="F78" s="69">
        <v>0</v>
      </c>
      <c r="G78" s="229">
        <v>0</v>
      </c>
      <c r="H78" s="231">
        <v>0</v>
      </c>
      <c r="I78" s="68">
        <v>0</v>
      </c>
      <c r="J78" s="69">
        <v>0</v>
      </c>
      <c r="K78" s="249">
        <f t="shared" si="2"/>
        <v>0</v>
      </c>
      <c r="L78" s="419">
        <f t="shared" si="3"/>
        <v>0</v>
      </c>
      <c r="M78" s="105">
        <f t="shared" si="4"/>
        <v>0</v>
      </c>
      <c r="N78" s="376">
        <v>0</v>
      </c>
      <c r="O78" s="326"/>
      <c r="P78" s="371"/>
      <c r="Q78" s="371"/>
      <c r="R78" s="374"/>
    </row>
    <row r="79" spans="1:18" ht="39.75" customHeight="1">
      <c r="A79" s="1514"/>
      <c r="B79" s="66" t="s">
        <v>177</v>
      </c>
      <c r="C79" s="229">
        <v>0</v>
      </c>
      <c r="D79" s="231">
        <v>0</v>
      </c>
      <c r="E79" s="68">
        <v>0</v>
      </c>
      <c r="F79" s="69">
        <v>0</v>
      </c>
      <c r="G79" s="229">
        <v>0</v>
      </c>
      <c r="H79" s="231">
        <v>0</v>
      </c>
      <c r="I79" s="68">
        <v>0</v>
      </c>
      <c r="J79" s="69">
        <v>0</v>
      </c>
      <c r="K79" s="249">
        <f t="shared" si="2"/>
        <v>21000</v>
      </c>
      <c r="L79" s="419">
        <f t="shared" si="3"/>
        <v>21000</v>
      </c>
      <c r="M79" s="105">
        <f t="shared" si="4"/>
        <v>21038</v>
      </c>
      <c r="N79" s="376">
        <f t="shared" si="5"/>
        <v>1.0018095238095237</v>
      </c>
      <c r="O79" s="326"/>
      <c r="P79" s="371"/>
      <c r="Q79" s="371"/>
      <c r="R79" s="374"/>
    </row>
    <row r="80" spans="1:18" ht="39.75" customHeight="1">
      <c r="A80" s="1514"/>
      <c r="B80" s="66" t="s">
        <v>44</v>
      </c>
      <c r="C80" s="229">
        <v>100</v>
      </c>
      <c r="D80" s="231">
        <v>100</v>
      </c>
      <c r="E80" s="68">
        <v>504</v>
      </c>
      <c r="F80" s="72">
        <f>E80/D80</f>
        <v>5.04</v>
      </c>
      <c r="G80" s="229">
        <v>0</v>
      </c>
      <c r="H80" s="231">
        <v>0</v>
      </c>
      <c r="I80" s="68">
        <v>0</v>
      </c>
      <c r="J80" s="72">
        <v>0</v>
      </c>
      <c r="K80" s="249">
        <f t="shared" si="2"/>
        <v>22821</v>
      </c>
      <c r="L80" s="419">
        <f t="shared" si="3"/>
        <v>22521</v>
      </c>
      <c r="M80" s="105">
        <f t="shared" si="4"/>
        <v>23095</v>
      </c>
      <c r="N80" s="376">
        <f t="shared" si="5"/>
        <v>1.025487322943031</v>
      </c>
      <c r="O80" s="326"/>
      <c r="P80" s="371"/>
      <c r="Q80" s="371"/>
      <c r="R80" s="374"/>
    </row>
    <row r="81" spans="1:18" ht="39.75" customHeight="1">
      <c r="A81" s="1514"/>
      <c r="B81" s="66" t="s">
        <v>15</v>
      </c>
      <c r="C81" s="229">
        <v>0</v>
      </c>
      <c r="D81" s="233">
        <v>0</v>
      </c>
      <c r="E81" s="231">
        <v>0</v>
      </c>
      <c r="F81" s="69">
        <v>0</v>
      </c>
      <c r="G81" s="229">
        <v>0</v>
      </c>
      <c r="H81" s="233">
        <v>0</v>
      </c>
      <c r="I81" s="231">
        <v>0</v>
      </c>
      <c r="J81" s="69">
        <v>0</v>
      </c>
      <c r="K81" s="249">
        <f t="shared" si="2"/>
        <v>100</v>
      </c>
      <c r="L81" s="419">
        <f t="shared" si="3"/>
        <v>100</v>
      </c>
      <c r="M81" s="105">
        <f t="shared" si="4"/>
        <v>0</v>
      </c>
      <c r="N81" s="376">
        <f t="shared" si="5"/>
        <v>0</v>
      </c>
      <c r="O81" s="326"/>
      <c r="P81" s="371"/>
      <c r="Q81" s="371"/>
      <c r="R81" s="374"/>
    </row>
    <row r="82" spans="1:18" ht="39.75" customHeight="1">
      <c r="A82" s="1514"/>
      <c r="B82" s="66" t="s">
        <v>136</v>
      </c>
      <c r="C82" s="229">
        <v>0</v>
      </c>
      <c r="D82" s="233">
        <v>0</v>
      </c>
      <c r="E82" s="231">
        <v>0</v>
      </c>
      <c r="F82" s="69">
        <v>0</v>
      </c>
      <c r="G82" s="229">
        <v>0</v>
      </c>
      <c r="H82" s="233">
        <v>0</v>
      </c>
      <c r="I82" s="231">
        <v>0</v>
      </c>
      <c r="J82" s="69">
        <v>0</v>
      </c>
      <c r="K82" s="249">
        <f t="shared" si="2"/>
        <v>1000</v>
      </c>
      <c r="L82" s="419">
        <f t="shared" si="3"/>
        <v>1000</v>
      </c>
      <c r="M82" s="105">
        <f t="shared" si="4"/>
        <v>167</v>
      </c>
      <c r="N82" s="376">
        <f t="shared" si="5"/>
        <v>0.167</v>
      </c>
      <c r="O82" s="326"/>
      <c r="P82" s="371"/>
      <c r="Q82" s="371"/>
      <c r="R82" s="374"/>
    </row>
    <row r="83" spans="1:18" ht="39.75" customHeight="1">
      <c r="A83" s="1514"/>
      <c r="B83" s="66" t="s">
        <v>16</v>
      </c>
      <c r="C83" s="229">
        <v>0</v>
      </c>
      <c r="D83" s="231">
        <v>0</v>
      </c>
      <c r="E83" s="68">
        <v>0</v>
      </c>
      <c r="F83" s="69">
        <v>0</v>
      </c>
      <c r="G83" s="229">
        <v>0</v>
      </c>
      <c r="H83" s="231">
        <v>0</v>
      </c>
      <c r="I83" s="68">
        <v>0</v>
      </c>
      <c r="J83" s="69">
        <v>0</v>
      </c>
      <c r="K83" s="249">
        <f t="shared" si="2"/>
        <v>10000</v>
      </c>
      <c r="L83" s="419">
        <f t="shared" si="3"/>
        <v>14500</v>
      </c>
      <c r="M83" s="105">
        <f t="shared" si="4"/>
        <v>17339</v>
      </c>
      <c r="N83" s="376">
        <f t="shared" si="5"/>
        <v>1.1957931034482758</v>
      </c>
      <c r="O83" s="326"/>
      <c r="P83" s="371"/>
      <c r="Q83" s="371"/>
      <c r="R83" s="374"/>
    </row>
    <row r="84" spans="1:18" ht="39.75" customHeight="1">
      <c r="A84" s="1514"/>
      <c r="B84" s="66" t="s">
        <v>178</v>
      </c>
      <c r="C84" s="229">
        <v>0</v>
      </c>
      <c r="D84" s="231">
        <v>0</v>
      </c>
      <c r="E84" s="68">
        <v>0</v>
      </c>
      <c r="F84" s="69">
        <v>0</v>
      </c>
      <c r="G84" s="229">
        <v>0</v>
      </c>
      <c r="H84" s="231">
        <v>0</v>
      </c>
      <c r="I84" s="68">
        <v>0</v>
      </c>
      <c r="J84" s="69">
        <v>0</v>
      </c>
      <c r="K84" s="249">
        <f t="shared" si="2"/>
        <v>280000</v>
      </c>
      <c r="L84" s="419">
        <f t="shared" si="3"/>
        <v>510000</v>
      </c>
      <c r="M84" s="105">
        <f t="shared" si="4"/>
        <v>762407</v>
      </c>
      <c r="N84" s="376">
        <f t="shared" si="5"/>
        <v>1.4949156862745099</v>
      </c>
      <c r="O84" s="326"/>
      <c r="P84" s="371"/>
      <c r="Q84" s="371"/>
      <c r="R84" s="374"/>
    </row>
    <row r="85" spans="1:18" ht="39.75" customHeight="1">
      <c r="A85" s="1514"/>
      <c r="B85" s="66" t="s">
        <v>133</v>
      </c>
      <c r="C85" s="229">
        <v>0</v>
      </c>
      <c r="D85" s="231">
        <v>0</v>
      </c>
      <c r="E85" s="68">
        <v>0</v>
      </c>
      <c r="F85" s="69">
        <v>0</v>
      </c>
      <c r="G85" s="229">
        <v>0</v>
      </c>
      <c r="H85" s="231">
        <v>0</v>
      </c>
      <c r="I85" s="68">
        <v>0</v>
      </c>
      <c r="J85" s="69">
        <v>0</v>
      </c>
      <c r="K85" s="249">
        <f t="shared" si="2"/>
        <v>70000</v>
      </c>
      <c r="L85" s="419">
        <f t="shared" si="3"/>
        <v>120000</v>
      </c>
      <c r="M85" s="105">
        <f t="shared" si="4"/>
        <v>127508</v>
      </c>
      <c r="N85" s="376">
        <f t="shared" si="5"/>
        <v>1.0625666666666667</v>
      </c>
      <c r="O85" s="326"/>
      <c r="P85" s="371"/>
      <c r="Q85" s="371"/>
      <c r="R85" s="374"/>
    </row>
    <row r="86" spans="1:18" ht="39.75" customHeight="1">
      <c r="A86" s="1514"/>
      <c r="B86" s="119" t="s">
        <v>132</v>
      </c>
      <c r="C86" s="236">
        <v>0</v>
      </c>
      <c r="D86" s="237">
        <v>0</v>
      </c>
      <c r="E86" s="120">
        <v>0</v>
      </c>
      <c r="F86" s="238">
        <v>0</v>
      </c>
      <c r="G86" s="236">
        <v>0</v>
      </c>
      <c r="H86" s="237">
        <v>0</v>
      </c>
      <c r="I86" s="120">
        <v>0</v>
      </c>
      <c r="J86" s="238">
        <v>0</v>
      </c>
      <c r="K86" s="326">
        <f t="shared" si="2"/>
        <v>0</v>
      </c>
      <c r="L86" s="420">
        <f t="shared" si="3"/>
        <v>0</v>
      </c>
      <c r="M86" s="251">
        <f t="shared" si="4"/>
        <v>-24343</v>
      </c>
      <c r="N86" s="374">
        <v>0</v>
      </c>
      <c r="O86" s="326"/>
      <c r="P86" s="371"/>
      <c r="Q86" s="371"/>
      <c r="R86" s="374"/>
    </row>
    <row r="87" spans="1:18" ht="40.5" customHeight="1">
      <c r="A87" s="1515"/>
      <c r="B87" s="12" t="s">
        <v>42</v>
      </c>
      <c r="C87" s="239">
        <f>SUM(C71:C86)</f>
        <v>180</v>
      </c>
      <c r="D87" s="240">
        <f>SUM(D71:D86)</f>
        <v>180</v>
      </c>
      <c r="E87" s="76">
        <f>SUM(E71:E86)</f>
        <v>546</v>
      </c>
      <c r="F87" s="241">
        <f>E87/D87</f>
        <v>3.033333333333333</v>
      </c>
      <c r="G87" s="239">
        <v>0</v>
      </c>
      <c r="H87" s="240">
        <f>SUM(H71:H86)</f>
        <v>0</v>
      </c>
      <c r="I87" s="76">
        <f>SUM(I71:I86)</f>
        <v>0</v>
      </c>
      <c r="J87" s="241">
        <v>0</v>
      </c>
      <c r="K87" s="257">
        <f>SUM(K71:K86)</f>
        <v>437303.4</v>
      </c>
      <c r="L87" s="421">
        <f t="shared" si="3"/>
        <v>707304.4</v>
      </c>
      <c r="M87" s="108">
        <f t="shared" si="4"/>
        <v>940371</v>
      </c>
      <c r="N87" s="377">
        <f t="shared" si="5"/>
        <v>1.3295138557034283</v>
      </c>
      <c r="O87" s="382"/>
      <c r="P87" s="383"/>
      <c r="Q87" s="383"/>
      <c r="R87" s="41"/>
    </row>
    <row r="88" spans="1:18" ht="39.75" customHeight="1">
      <c r="A88" s="1513" t="s">
        <v>39</v>
      </c>
      <c r="B88" s="65" t="s">
        <v>7</v>
      </c>
      <c r="C88" s="226">
        <v>0</v>
      </c>
      <c r="D88" s="242">
        <v>0</v>
      </c>
      <c r="E88" s="77">
        <v>0</v>
      </c>
      <c r="F88" s="78">
        <v>0</v>
      </c>
      <c r="G88" s="226">
        <v>0</v>
      </c>
      <c r="H88" s="242">
        <v>0</v>
      </c>
      <c r="I88" s="77">
        <v>0</v>
      </c>
      <c r="J88" s="78">
        <v>0</v>
      </c>
      <c r="K88" s="326">
        <f aca="true" t="shared" si="6" ref="K88:K100">G88+C88+O55+K55+G55+C55+O21+K21+G21+C21</f>
        <v>4500</v>
      </c>
      <c r="L88" s="420">
        <f t="shared" si="3"/>
        <v>4500</v>
      </c>
      <c r="M88" s="251">
        <f t="shared" si="4"/>
        <v>3617</v>
      </c>
      <c r="N88" s="374">
        <f t="shared" si="5"/>
        <v>0.8037777777777778</v>
      </c>
      <c r="O88" s="326"/>
      <c r="P88" s="371"/>
      <c r="Q88" s="371"/>
      <c r="R88" s="374"/>
    </row>
    <row r="89" spans="1:18" ht="39.75" customHeight="1">
      <c r="A89" s="1514"/>
      <c r="B89" s="66" t="s">
        <v>19</v>
      </c>
      <c r="C89" s="229">
        <v>0</v>
      </c>
      <c r="D89" s="231">
        <v>0</v>
      </c>
      <c r="E89" s="68">
        <v>0</v>
      </c>
      <c r="F89" s="69">
        <v>0</v>
      </c>
      <c r="G89" s="229">
        <v>0</v>
      </c>
      <c r="H89" s="231">
        <v>0</v>
      </c>
      <c r="I89" s="68">
        <v>0</v>
      </c>
      <c r="J89" s="69">
        <v>0</v>
      </c>
      <c r="K89" s="249">
        <f t="shared" si="6"/>
        <v>7020</v>
      </c>
      <c r="L89" s="419">
        <f t="shared" si="3"/>
        <v>8381.3</v>
      </c>
      <c r="M89" s="105">
        <f t="shared" si="4"/>
        <v>8936</v>
      </c>
      <c r="N89" s="376">
        <f t="shared" si="5"/>
        <v>1.0661830503621157</v>
      </c>
      <c r="O89" s="326"/>
      <c r="P89" s="371"/>
      <c r="Q89" s="371"/>
      <c r="R89" s="374"/>
    </row>
    <row r="90" spans="1:18" ht="39.75" customHeight="1">
      <c r="A90" s="1514"/>
      <c r="B90" s="66" t="s">
        <v>8</v>
      </c>
      <c r="C90" s="229">
        <v>0</v>
      </c>
      <c r="D90" s="231">
        <v>0</v>
      </c>
      <c r="E90" s="68">
        <v>0</v>
      </c>
      <c r="F90" s="81">
        <v>0</v>
      </c>
      <c r="G90" s="229">
        <v>0</v>
      </c>
      <c r="H90" s="231">
        <v>0</v>
      </c>
      <c r="I90" s="68">
        <v>0</v>
      </c>
      <c r="J90" s="81">
        <v>0</v>
      </c>
      <c r="K90" s="249">
        <f t="shared" si="6"/>
        <v>1700</v>
      </c>
      <c r="L90" s="419">
        <f t="shared" si="3"/>
        <v>2300</v>
      </c>
      <c r="M90" s="105">
        <f t="shared" si="4"/>
        <v>2239</v>
      </c>
      <c r="N90" s="376">
        <f t="shared" si="5"/>
        <v>0.9734782608695652</v>
      </c>
      <c r="O90" s="326"/>
      <c r="P90" s="371"/>
      <c r="Q90" s="371"/>
      <c r="R90" s="374"/>
    </row>
    <row r="91" spans="1:18" ht="39.75" customHeight="1">
      <c r="A91" s="1514"/>
      <c r="B91" s="66" t="s">
        <v>9</v>
      </c>
      <c r="C91" s="229">
        <v>300</v>
      </c>
      <c r="D91" s="231">
        <v>300</v>
      </c>
      <c r="E91" s="68">
        <v>857</v>
      </c>
      <c r="F91" s="69">
        <f>E91/D91</f>
        <v>2.8566666666666665</v>
      </c>
      <c r="G91" s="229">
        <v>0</v>
      </c>
      <c r="H91" s="231">
        <v>0</v>
      </c>
      <c r="I91" s="68">
        <v>0</v>
      </c>
      <c r="J91" s="69">
        <v>0</v>
      </c>
      <c r="K91" s="249">
        <f t="shared" si="6"/>
        <v>300</v>
      </c>
      <c r="L91" s="419">
        <f t="shared" si="3"/>
        <v>300</v>
      </c>
      <c r="M91" s="105">
        <f t="shared" si="4"/>
        <v>857</v>
      </c>
      <c r="N91" s="376">
        <f t="shared" si="5"/>
        <v>2.8566666666666665</v>
      </c>
      <c r="O91" s="326"/>
      <c r="P91" s="371"/>
      <c r="Q91" s="371"/>
      <c r="R91" s="374"/>
    </row>
    <row r="92" spans="1:18" ht="39.75" customHeight="1">
      <c r="A92" s="1514"/>
      <c r="B92" s="66" t="s">
        <v>47</v>
      </c>
      <c r="C92" s="229">
        <v>0</v>
      </c>
      <c r="D92" s="231">
        <v>0</v>
      </c>
      <c r="E92" s="68">
        <v>87</v>
      </c>
      <c r="F92" s="72">
        <v>0</v>
      </c>
      <c r="G92" s="229">
        <v>0</v>
      </c>
      <c r="H92" s="231">
        <v>336</v>
      </c>
      <c r="I92" s="68">
        <v>587</v>
      </c>
      <c r="J92" s="72">
        <f>I92/H92</f>
        <v>1.7470238095238095</v>
      </c>
      <c r="K92" s="249">
        <f t="shared" si="6"/>
        <v>4237.3</v>
      </c>
      <c r="L92" s="419">
        <f t="shared" si="3"/>
        <v>4573.3</v>
      </c>
      <c r="M92" s="105">
        <f t="shared" si="4"/>
        <v>4902</v>
      </c>
      <c r="N92" s="376">
        <f t="shared" si="5"/>
        <v>1.071873701703365</v>
      </c>
      <c r="O92" s="326"/>
      <c r="P92" s="371"/>
      <c r="Q92" s="371"/>
      <c r="R92" s="374"/>
    </row>
    <row r="93" spans="1:18" ht="39.75" customHeight="1">
      <c r="A93" s="1514"/>
      <c r="B93" s="66" t="s">
        <v>45</v>
      </c>
      <c r="C93" s="229">
        <v>0</v>
      </c>
      <c r="D93" s="231">
        <v>0</v>
      </c>
      <c r="E93" s="68">
        <v>0</v>
      </c>
      <c r="F93" s="69">
        <v>0</v>
      </c>
      <c r="G93" s="229">
        <v>0</v>
      </c>
      <c r="H93" s="231">
        <v>0</v>
      </c>
      <c r="I93" s="68">
        <v>0</v>
      </c>
      <c r="J93" s="69">
        <v>0</v>
      </c>
      <c r="K93" s="249">
        <f t="shared" si="6"/>
        <v>280000</v>
      </c>
      <c r="L93" s="419">
        <f t="shared" si="3"/>
        <v>567390</v>
      </c>
      <c r="M93" s="105">
        <f t="shared" si="4"/>
        <v>766054</v>
      </c>
      <c r="N93" s="376">
        <f t="shared" si="5"/>
        <v>1.350136590352315</v>
      </c>
      <c r="O93" s="326"/>
      <c r="P93" s="371"/>
      <c r="Q93" s="371"/>
      <c r="R93" s="374"/>
    </row>
    <row r="94" spans="1:18" ht="39.75" customHeight="1">
      <c r="A94" s="1514"/>
      <c r="B94" s="66" t="s">
        <v>461</v>
      </c>
      <c r="C94" s="229">
        <v>0</v>
      </c>
      <c r="D94" s="231">
        <v>0</v>
      </c>
      <c r="E94" s="68">
        <v>0</v>
      </c>
      <c r="F94" s="69">
        <v>0</v>
      </c>
      <c r="G94" s="229">
        <v>0</v>
      </c>
      <c r="H94" s="231">
        <v>0</v>
      </c>
      <c r="I94" s="68">
        <v>0</v>
      </c>
      <c r="J94" s="69">
        <v>0</v>
      </c>
      <c r="K94" s="249">
        <f t="shared" si="6"/>
        <v>76700</v>
      </c>
      <c r="L94" s="419">
        <f t="shared" si="3"/>
        <v>150685</v>
      </c>
      <c r="M94" s="105">
        <f t="shared" si="4"/>
        <v>168491</v>
      </c>
      <c r="N94" s="376">
        <f t="shared" si="5"/>
        <v>1.1181670371968013</v>
      </c>
      <c r="O94" s="326"/>
      <c r="P94" s="371"/>
      <c r="Q94" s="371"/>
      <c r="R94" s="374"/>
    </row>
    <row r="95" spans="1:18" ht="39.75" customHeight="1">
      <c r="A95" s="1514"/>
      <c r="B95" s="66" t="s">
        <v>228</v>
      </c>
      <c r="C95" s="229">
        <v>0</v>
      </c>
      <c r="D95" s="231">
        <v>0</v>
      </c>
      <c r="E95" s="68">
        <v>0</v>
      </c>
      <c r="F95" s="69">
        <v>0</v>
      </c>
      <c r="G95" s="229">
        <v>0</v>
      </c>
      <c r="H95" s="231">
        <v>0</v>
      </c>
      <c r="I95" s="68">
        <v>0</v>
      </c>
      <c r="J95" s="69">
        <v>0</v>
      </c>
      <c r="K95" s="249">
        <f t="shared" si="6"/>
        <v>0</v>
      </c>
      <c r="L95" s="419">
        <f t="shared" si="3"/>
        <v>0</v>
      </c>
      <c r="M95" s="105">
        <f t="shared" si="4"/>
        <v>0</v>
      </c>
      <c r="N95" s="376">
        <v>0</v>
      </c>
      <c r="O95" s="326"/>
      <c r="P95" s="371"/>
      <c r="Q95" s="371"/>
      <c r="R95" s="374"/>
    </row>
    <row r="96" spans="1:18" ht="39.75" customHeight="1">
      <c r="A96" s="1514"/>
      <c r="B96" s="66" t="s">
        <v>10</v>
      </c>
      <c r="C96" s="229">
        <v>0</v>
      </c>
      <c r="D96" s="231">
        <v>0</v>
      </c>
      <c r="E96" s="68">
        <v>0</v>
      </c>
      <c r="F96" s="69">
        <v>0</v>
      </c>
      <c r="G96" s="229">
        <v>0</v>
      </c>
      <c r="H96" s="231">
        <v>0</v>
      </c>
      <c r="I96" s="68">
        <v>0</v>
      </c>
      <c r="J96" s="69">
        <v>0</v>
      </c>
      <c r="K96" s="249">
        <f t="shared" si="6"/>
        <v>190</v>
      </c>
      <c r="L96" s="419">
        <f t="shared" si="3"/>
        <v>190</v>
      </c>
      <c r="M96" s="105">
        <f t="shared" si="4"/>
        <v>7</v>
      </c>
      <c r="N96" s="376">
        <f t="shared" si="5"/>
        <v>0.03684210526315789</v>
      </c>
      <c r="O96" s="326"/>
      <c r="P96" s="371"/>
      <c r="Q96" s="371"/>
      <c r="R96" s="374"/>
    </row>
    <row r="97" spans="1:18" ht="39.75" customHeight="1">
      <c r="A97" s="1514"/>
      <c r="B97" s="66" t="s">
        <v>46</v>
      </c>
      <c r="C97" s="229">
        <v>0</v>
      </c>
      <c r="D97" s="231">
        <v>0</v>
      </c>
      <c r="E97" s="68">
        <v>0</v>
      </c>
      <c r="F97" s="69">
        <v>0</v>
      </c>
      <c r="G97" s="229">
        <v>0</v>
      </c>
      <c r="H97" s="231">
        <v>0</v>
      </c>
      <c r="I97" s="68">
        <v>0</v>
      </c>
      <c r="J97" s="69">
        <v>0</v>
      </c>
      <c r="K97" s="249">
        <f t="shared" si="6"/>
        <v>1000</v>
      </c>
      <c r="L97" s="419">
        <f t="shared" si="3"/>
        <v>1000</v>
      </c>
      <c r="M97" s="105">
        <f t="shared" si="4"/>
        <v>3391</v>
      </c>
      <c r="N97" s="376">
        <f t="shared" si="5"/>
        <v>3.391</v>
      </c>
      <c r="O97" s="326"/>
      <c r="P97" s="371"/>
      <c r="Q97" s="371"/>
      <c r="R97" s="374"/>
    </row>
    <row r="98" spans="1:18" ht="39.75" customHeight="1">
      <c r="A98" s="1514"/>
      <c r="B98" s="79" t="s">
        <v>135</v>
      </c>
      <c r="C98" s="243">
        <v>0</v>
      </c>
      <c r="D98" s="244">
        <v>0</v>
      </c>
      <c r="E98" s="80">
        <v>0</v>
      </c>
      <c r="F98" s="124">
        <v>0</v>
      </c>
      <c r="G98" s="243">
        <v>0</v>
      </c>
      <c r="H98" s="244">
        <v>0</v>
      </c>
      <c r="I98" s="80">
        <v>0</v>
      </c>
      <c r="J98" s="124">
        <v>0</v>
      </c>
      <c r="K98" s="375">
        <f t="shared" si="6"/>
        <v>220000</v>
      </c>
      <c r="L98" s="422">
        <f t="shared" si="3"/>
        <v>450000</v>
      </c>
      <c r="M98" s="412">
        <f t="shared" si="4"/>
        <v>810080</v>
      </c>
      <c r="N98" s="413">
        <f t="shared" si="5"/>
        <v>1.8001777777777779</v>
      </c>
      <c r="O98" s="326"/>
      <c r="P98" s="371"/>
      <c r="Q98" s="371"/>
      <c r="R98" s="374"/>
    </row>
    <row r="99" spans="1:18" ht="39.75" customHeight="1">
      <c r="A99" s="1514"/>
      <c r="B99" s="407" t="s">
        <v>476</v>
      </c>
      <c r="C99" s="372">
        <v>0</v>
      </c>
      <c r="D99" s="408">
        <v>0</v>
      </c>
      <c r="E99" s="409">
        <v>-169070</v>
      </c>
      <c r="F99" s="414">
        <v>0</v>
      </c>
      <c r="G99" s="372">
        <v>0</v>
      </c>
      <c r="H99" s="408">
        <v>0</v>
      </c>
      <c r="I99" s="409">
        <v>0</v>
      </c>
      <c r="J99" s="414">
        <v>0</v>
      </c>
      <c r="K99" s="415">
        <f t="shared" si="6"/>
        <v>0</v>
      </c>
      <c r="L99" s="423">
        <f t="shared" si="3"/>
        <v>0</v>
      </c>
      <c r="M99" s="416">
        <f t="shared" si="4"/>
        <v>-169070</v>
      </c>
      <c r="N99" s="417">
        <v>0</v>
      </c>
      <c r="O99" s="326"/>
      <c r="P99" s="371"/>
      <c r="Q99" s="371"/>
      <c r="R99" s="374"/>
    </row>
    <row r="100" spans="1:18" ht="57.75" customHeight="1">
      <c r="A100" s="1515"/>
      <c r="B100" s="1137" t="s">
        <v>42</v>
      </c>
      <c r="C100" s="1138">
        <f>SUM(C88:C99)</f>
        <v>300</v>
      </c>
      <c r="D100" s="1139">
        <f>SUM(D88:D99)</f>
        <v>300</v>
      </c>
      <c r="E100" s="1140">
        <f>SUM(E88:E99)</f>
        <v>-168126</v>
      </c>
      <c r="F100" s="1141">
        <v>0</v>
      </c>
      <c r="G100" s="1138">
        <f>SUM(G88:G98)</f>
        <v>0</v>
      </c>
      <c r="H100" s="1139">
        <f>SUM(H88:H99)</f>
        <v>336</v>
      </c>
      <c r="I100" s="1140">
        <f>SUM(I88:I99)</f>
        <v>587</v>
      </c>
      <c r="J100" s="1141">
        <f>I100/H100</f>
        <v>1.7470238095238095</v>
      </c>
      <c r="K100" s="1142">
        <f t="shared" si="6"/>
        <v>595647.3</v>
      </c>
      <c r="L100" s="1143">
        <f t="shared" si="3"/>
        <v>1189319.6</v>
      </c>
      <c r="M100" s="1144">
        <f t="shared" si="4"/>
        <v>1599504</v>
      </c>
      <c r="N100" s="1145">
        <f t="shared" si="5"/>
        <v>1.3448899690209426</v>
      </c>
      <c r="O100" s="382"/>
      <c r="P100" s="383"/>
      <c r="Q100" s="383"/>
      <c r="R100" s="41"/>
    </row>
    <row r="101" spans="2:18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2.75">
      <c r="B102" s="3"/>
      <c r="C102" s="3"/>
      <c r="D102" s="3"/>
      <c r="E102" s="3"/>
      <c r="F102" s="3"/>
      <c r="G102" s="3"/>
      <c r="H102" s="3"/>
      <c r="I102" s="3"/>
      <c r="J102" s="3"/>
      <c r="O102" s="3"/>
      <c r="P102" s="3"/>
      <c r="Q102" s="3"/>
      <c r="R102" s="3"/>
    </row>
    <row r="103" spans="2:18" ht="12.75">
      <c r="B103" s="3"/>
      <c r="C103" s="3"/>
      <c r="D103" s="3"/>
      <c r="E103" s="3"/>
      <c r="F103" s="3"/>
      <c r="G103" s="3"/>
      <c r="H103" s="3"/>
      <c r="I103" s="3"/>
      <c r="J103" s="3"/>
      <c r="O103" s="3"/>
      <c r="P103" s="3"/>
      <c r="Q103" s="3"/>
      <c r="R103" s="3"/>
    </row>
    <row r="104" spans="2:18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</sheetData>
  <sheetProtection/>
  <mergeCells count="24">
    <mergeCell ref="A1:Q1"/>
    <mergeCell ref="A36:B37"/>
    <mergeCell ref="C36:F36"/>
    <mergeCell ref="G36:J36"/>
    <mergeCell ref="K36:N36"/>
    <mergeCell ref="O36:R36"/>
    <mergeCell ref="G2:J2"/>
    <mergeCell ref="K2:N2"/>
    <mergeCell ref="O2:R2"/>
    <mergeCell ref="A4:A20"/>
    <mergeCell ref="A2:B3"/>
    <mergeCell ref="C2:F2"/>
    <mergeCell ref="O69:R69"/>
    <mergeCell ref="K69:N69"/>
    <mergeCell ref="A55:A67"/>
    <mergeCell ref="A38:A54"/>
    <mergeCell ref="A68:M68"/>
    <mergeCell ref="A71:A87"/>
    <mergeCell ref="A88:A100"/>
    <mergeCell ref="A21:A33"/>
    <mergeCell ref="A69:B70"/>
    <mergeCell ref="C69:F69"/>
    <mergeCell ref="G69:J69"/>
    <mergeCell ref="A35:Q35"/>
  </mergeCells>
  <printOptions/>
  <pageMargins left="0.1968503937007874" right="0.15748031496062992" top="0.4724409448818898" bottom="0.31496062992125984" header="0.31496062992125984" footer="0.15748031496062992"/>
  <pageSetup horizontalDpi="600" verticalDpi="600" orientation="landscape" paperSize="9" scale="38" r:id="rId1"/>
  <headerFooter>
    <oddFooter>&amp;LZávěrečný účet za rok 2018</oddFooter>
  </headerFooter>
  <rowBreaks count="2" manualBreakCount="2">
    <brk id="33" max="18" man="1"/>
    <brk id="67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90" zoomScaleSheetLayoutView="90" workbookViewId="0" topLeftCell="A1">
      <pane ySplit="3" topLeftCell="A4" activePane="bottomLeft" state="frozen"/>
      <selection pane="topLeft" activeCell="A1" sqref="A1"/>
      <selection pane="bottomLeft" activeCell="Q18" sqref="Q18"/>
    </sheetView>
  </sheetViews>
  <sheetFormatPr defaultColWidth="9.00390625" defaultRowHeight="12.75"/>
  <cols>
    <col min="1" max="1" width="4.625" style="1151" customWidth="1"/>
    <col min="2" max="2" width="31.25390625" style="1151" customWidth="1"/>
    <col min="3" max="3" width="12.00390625" style="1151" customWidth="1"/>
    <col min="4" max="4" width="12.125" style="1151" customWidth="1"/>
    <col min="5" max="5" width="10.125" style="1151" customWidth="1"/>
    <col min="6" max="6" width="11.00390625" style="1151" customWidth="1"/>
    <col min="7" max="7" width="11.25390625" style="1151" customWidth="1"/>
    <col min="8" max="8" width="11.625" style="1151" customWidth="1"/>
    <col min="9" max="9" width="12.25390625" style="1151" customWidth="1"/>
    <col min="10" max="10" width="10.625" style="1151" customWidth="1"/>
    <col min="11" max="11" width="12.125" style="1151" customWidth="1"/>
    <col min="12" max="12" width="12.00390625" style="1151" customWidth="1"/>
    <col min="13" max="13" width="12.875" style="1151" customWidth="1"/>
    <col min="14" max="14" width="10.875" style="1151" customWidth="1"/>
    <col min="15" max="15" width="22.375" style="1151" customWidth="1"/>
    <col min="16" max="16384" width="9.125" style="1151" customWidth="1"/>
  </cols>
  <sheetData>
    <row r="1" spans="1:14" ht="67.5" customHeight="1">
      <c r="A1" s="1566" t="s">
        <v>471</v>
      </c>
      <c r="B1" s="1566"/>
      <c r="C1" s="1566"/>
      <c r="D1" s="1566"/>
      <c r="E1" s="1566"/>
      <c r="F1" s="1566"/>
      <c r="G1" s="1566"/>
      <c r="H1" s="1566"/>
      <c r="I1" s="1566"/>
      <c r="J1" s="1566"/>
      <c r="K1" s="1567"/>
      <c r="L1" s="1567"/>
      <c r="M1" s="1568" t="s">
        <v>318</v>
      </c>
      <c r="N1" s="1568"/>
    </row>
    <row r="2" spans="1:14" ht="34.5" customHeight="1">
      <c r="A2" s="1569" t="s">
        <v>26</v>
      </c>
      <c r="B2" s="1570"/>
      <c r="C2" s="1573" t="s">
        <v>742</v>
      </c>
      <c r="D2" s="1574"/>
      <c r="E2" s="1574"/>
      <c r="F2" s="1574"/>
      <c r="G2" s="1575" t="s">
        <v>741</v>
      </c>
      <c r="H2" s="1574"/>
      <c r="I2" s="1574"/>
      <c r="J2" s="1574"/>
      <c r="K2" s="1576" t="s">
        <v>175</v>
      </c>
      <c r="L2" s="1574"/>
      <c r="M2" s="1574"/>
      <c r="N2" s="1574"/>
    </row>
    <row r="3" spans="1:14" ht="21" customHeight="1">
      <c r="A3" s="1571"/>
      <c r="B3" s="1572"/>
      <c r="C3" s="1155" t="s">
        <v>27</v>
      </c>
      <c r="D3" s="1156" t="s">
        <v>28</v>
      </c>
      <c r="E3" s="1156" t="s">
        <v>29</v>
      </c>
      <c r="F3" s="1157" t="s">
        <v>31</v>
      </c>
      <c r="G3" s="1155" t="s">
        <v>27</v>
      </c>
      <c r="H3" s="1156" t="s">
        <v>28</v>
      </c>
      <c r="I3" s="1156" t="s">
        <v>29</v>
      </c>
      <c r="J3" s="1157" t="s">
        <v>31</v>
      </c>
      <c r="K3" s="1155" t="s">
        <v>27</v>
      </c>
      <c r="L3" s="1156" t="s">
        <v>28</v>
      </c>
      <c r="M3" s="1156" t="s">
        <v>29</v>
      </c>
      <c r="N3" s="1157" t="s">
        <v>31</v>
      </c>
    </row>
    <row r="4" spans="1:14" ht="15">
      <c r="A4" s="1534" t="s">
        <v>40</v>
      </c>
      <c r="B4" s="1158" t="s">
        <v>32</v>
      </c>
      <c r="C4" s="1537"/>
      <c r="D4" s="1538"/>
      <c r="E4" s="1159">
        <f>'5 ZČ SF'!BK4</f>
        <v>62</v>
      </c>
      <c r="F4" s="1543"/>
      <c r="G4" s="1546"/>
      <c r="H4" s="1547"/>
      <c r="I4" s="1160">
        <v>0</v>
      </c>
      <c r="J4" s="1552"/>
      <c r="K4" s="1555"/>
      <c r="L4" s="1556"/>
      <c r="M4" s="1161">
        <f>SUM(E4,I4)</f>
        <v>62</v>
      </c>
      <c r="N4" s="1577"/>
    </row>
    <row r="5" spans="1:14" ht="15">
      <c r="A5" s="1535"/>
      <c r="B5" s="1162" t="s">
        <v>34</v>
      </c>
      <c r="C5" s="1539"/>
      <c r="D5" s="1540"/>
      <c r="E5" s="1163">
        <f>'5 ZČ SF'!BK6</f>
        <v>830</v>
      </c>
      <c r="F5" s="1544"/>
      <c r="G5" s="1548"/>
      <c r="H5" s="1549"/>
      <c r="I5" s="1164">
        <v>0</v>
      </c>
      <c r="J5" s="1553"/>
      <c r="K5" s="1557"/>
      <c r="L5" s="1558"/>
      <c r="M5" s="1165">
        <f>SUM(E5,I5)</f>
        <v>830</v>
      </c>
      <c r="N5" s="1578"/>
    </row>
    <row r="6" spans="1:14" ht="15">
      <c r="A6" s="1535"/>
      <c r="B6" s="1162" t="s">
        <v>35</v>
      </c>
      <c r="C6" s="1539"/>
      <c r="D6" s="1540"/>
      <c r="E6" s="1163">
        <f>'5 ZČ SF'!BK8</f>
        <v>434</v>
      </c>
      <c r="F6" s="1544"/>
      <c r="G6" s="1548"/>
      <c r="H6" s="1549"/>
      <c r="I6" s="1164">
        <v>0</v>
      </c>
      <c r="J6" s="1553"/>
      <c r="K6" s="1557"/>
      <c r="L6" s="1558"/>
      <c r="M6" s="1165">
        <f>SUM(E6,I6)</f>
        <v>434</v>
      </c>
      <c r="N6" s="1578"/>
    </row>
    <row r="7" spans="1:14" ht="15">
      <c r="A7" s="1536"/>
      <c r="B7" s="1166" t="s">
        <v>36</v>
      </c>
      <c r="C7" s="1541"/>
      <c r="D7" s="1542"/>
      <c r="E7" s="1167">
        <f>'5 ZČ SF'!BK10</f>
        <v>11</v>
      </c>
      <c r="F7" s="1545"/>
      <c r="G7" s="1550"/>
      <c r="H7" s="1551"/>
      <c r="I7" s="1168">
        <v>0</v>
      </c>
      <c r="J7" s="1554"/>
      <c r="K7" s="1559"/>
      <c r="L7" s="1560"/>
      <c r="M7" s="1169">
        <f>SUM(E7,I7)</f>
        <v>11</v>
      </c>
      <c r="N7" s="1579"/>
    </row>
    <row r="8" spans="1:14" ht="15">
      <c r="A8" s="1561" t="s">
        <v>38</v>
      </c>
      <c r="B8" s="1158" t="s">
        <v>49</v>
      </c>
      <c r="C8" s="1170">
        <f>'5 ZČ SF'!BI11</f>
        <v>59651</v>
      </c>
      <c r="D8" s="1159">
        <f>'5 ZČ SF'!BJ11</f>
        <v>75405</v>
      </c>
      <c r="E8" s="1159">
        <f>'5 ZČ SF'!BK11</f>
        <v>34215</v>
      </c>
      <c r="F8" s="1171">
        <f>E8/D8</f>
        <v>0.45374975134274914</v>
      </c>
      <c r="G8" s="1172">
        <f>'6 ZČ odbory'!K71</f>
        <v>15000</v>
      </c>
      <c r="H8" s="1159">
        <f>'6 ZČ odbory'!L71</f>
        <v>8000</v>
      </c>
      <c r="I8" s="1159">
        <f>'6 ZČ odbory'!M71</f>
        <v>7479</v>
      </c>
      <c r="J8" s="1171">
        <f>I8/H8</f>
        <v>0.934875</v>
      </c>
      <c r="K8" s="1173">
        <f>C8+G8</f>
        <v>74651</v>
      </c>
      <c r="L8" s="1174">
        <f>D8+H8</f>
        <v>83405</v>
      </c>
      <c r="M8" s="1174">
        <f>E8+I8</f>
        <v>41694</v>
      </c>
      <c r="N8" s="1175">
        <f>M8/L8</f>
        <v>0.4998980876446256</v>
      </c>
    </row>
    <row r="9" spans="1:14" ht="15">
      <c r="A9" s="1562"/>
      <c r="B9" s="1176" t="s">
        <v>50</v>
      </c>
      <c r="C9" s="1177">
        <f>'5 ZČ SF'!BI12</f>
        <v>25298.8</v>
      </c>
      <c r="D9" s="1178">
        <f>'5 ZČ SF'!BJ12</f>
        <v>27796.1</v>
      </c>
      <c r="E9" s="1178">
        <f>'5 ZČ SF'!BK12</f>
        <v>12367</v>
      </c>
      <c r="F9" s="1179">
        <f>E9/D9</f>
        <v>0.44491853173646667</v>
      </c>
      <c r="G9" s="1180">
        <f>'6 ZČ odbory'!K72</f>
        <v>3000</v>
      </c>
      <c r="H9" s="1178">
        <f>'6 ZČ odbory'!L72</f>
        <v>700</v>
      </c>
      <c r="I9" s="1178">
        <f>'6 ZČ odbory'!M72</f>
        <v>245</v>
      </c>
      <c r="J9" s="1179">
        <f aca="true" t="shared" si="0" ref="J9:J35">I9/H9</f>
        <v>0.35</v>
      </c>
      <c r="K9" s="1181">
        <f aca="true" t="shared" si="1" ref="K9:M23">C9+G9</f>
        <v>28298.8</v>
      </c>
      <c r="L9" s="1163">
        <f t="shared" si="1"/>
        <v>28496.1</v>
      </c>
      <c r="M9" s="1163">
        <f t="shared" si="1"/>
        <v>12612</v>
      </c>
      <c r="N9" s="1182">
        <f aca="true" t="shared" si="2" ref="N9:N35">M9/L9</f>
        <v>0.44258688030993715</v>
      </c>
    </row>
    <row r="10" spans="1:14" ht="15">
      <c r="A10" s="1562"/>
      <c r="B10" s="1162" t="s">
        <v>43</v>
      </c>
      <c r="C10" s="1177">
        <f>'5 ZČ SF'!BI13</f>
        <v>0</v>
      </c>
      <c r="D10" s="1178">
        <f>'5 ZČ SF'!BJ13</f>
        <v>0</v>
      </c>
      <c r="E10" s="1178">
        <f>'5 ZČ SF'!BK13</f>
        <v>0</v>
      </c>
      <c r="F10" s="1179">
        <v>0</v>
      </c>
      <c r="G10" s="1180">
        <f>'6 ZČ odbory'!K73</f>
        <v>1200</v>
      </c>
      <c r="H10" s="1178">
        <f>'6 ZČ odbory'!L73</f>
        <v>1200</v>
      </c>
      <c r="I10" s="1178">
        <f>'6 ZČ odbory'!M73</f>
        <v>1217</v>
      </c>
      <c r="J10" s="1179">
        <f t="shared" si="0"/>
        <v>1.0141666666666667</v>
      </c>
      <c r="K10" s="1181">
        <f t="shared" si="1"/>
        <v>1200</v>
      </c>
      <c r="L10" s="1163">
        <f t="shared" si="1"/>
        <v>1200</v>
      </c>
      <c r="M10" s="1163">
        <f t="shared" si="1"/>
        <v>1217</v>
      </c>
      <c r="N10" s="1182">
        <f t="shared" si="2"/>
        <v>1.0141666666666667</v>
      </c>
    </row>
    <row r="11" spans="1:14" ht="15">
      <c r="A11" s="1562"/>
      <c r="B11" s="1176" t="s">
        <v>11</v>
      </c>
      <c r="C11" s="1177">
        <f>'5 ZČ SF'!BI14</f>
        <v>1990</v>
      </c>
      <c r="D11" s="1178">
        <f>'5 ZČ SF'!BJ14</f>
        <v>1990</v>
      </c>
      <c r="E11" s="1178">
        <f>'5 ZČ SF'!BK14</f>
        <v>258</v>
      </c>
      <c r="F11" s="1179">
        <f>E11/D11</f>
        <v>0.12964824120603016</v>
      </c>
      <c r="G11" s="1180">
        <f>'6 ZČ odbory'!K74</f>
        <v>3000</v>
      </c>
      <c r="H11" s="1178">
        <f>'6 ZČ odbory'!L74</f>
        <v>1600</v>
      </c>
      <c r="I11" s="1178">
        <f>'6 ZČ odbory'!M74</f>
        <v>1146</v>
      </c>
      <c r="J11" s="1179">
        <f t="shared" si="0"/>
        <v>0.71625</v>
      </c>
      <c r="K11" s="1181">
        <f t="shared" si="1"/>
        <v>4990</v>
      </c>
      <c r="L11" s="1163">
        <f t="shared" si="1"/>
        <v>3590</v>
      </c>
      <c r="M11" s="1163">
        <f t="shared" si="1"/>
        <v>1404</v>
      </c>
      <c r="N11" s="1182">
        <f t="shared" si="2"/>
        <v>0.3910863509749304</v>
      </c>
    </row>
    <row r="12" spans="1:14" ht="15">
      <c r="A12" s="1562"/>
      <c r="B12" s="1176" t="s">
        <v>12</v>
      </c>
      <c r="C12" s="1177">
        <f>'5 ZČ SF'!BI15</f>
        <v>9479.9</v>
      </c>
      <c r="D12" s="1178">
        <f>'5 ZČ SF'!BJ15</f>
        <v>9829.9</v>
      </c>
      <c r="E12" s="1178">
        <f>'5 ZČ SF'!BK15</f>
        <v>10447</v>
      </c>
      <c r="F12" s="1179">
        <f>E12/D12</f>
        <v>1.0627778512497583</v>
      </c>
      <c r="G12" s="1180">
        <f>'6 ZČ odbory'!K75</f>
        <v>200</v>
      </c>
      <c r="H12" s="1178">
        <f>'6 ZČ odbory'!L75</f>
        <v>200</v>
      </c>
      <c r="I12" s="1178">
        <f>'6 ZČ odbory'!M75</f>
        <v>75</v>
      </c>
      <c r="J12" s="1179">
        <f t="shared" si="0"/>
        <v>0.375</v>
      </c>
      <c r="K12" s="1181">
        <f t="shared" si="1"/>
        <v>9679.9</v>
      </c>
      <c r="L12" s="1163">
        <f t="shared" si="1"/>
        <v>10029.9</v>
      </c>
      <c r="M12" s="1163">
        <f t="shared" si="1"/>
        <v>10522</v>
      </c>
      <c r="N12" s="1182">
        <f t="shared" si="2"/>
        <v>1.049063300730815</v>
      </c>
    </row>
    <row r="13" spans="1:14" ht="15">
      <c r="A13" s="1562"/>
      <c r="B13" s="1176" t="s">
        <v>13</v>
      </c>
      <c r="C13" s="1177">
        <f>'5 ZČ SF'!BI16</f>
        <v>775</v>
      </c>
      <c r="D13" s="1178">
        <f>'5 ZČ SF'!BJ16</f>
        <v>775</v>
      </c>
      <c r="E13" s="1178">
        <f>'5 ZČ SF'!BK16</f>
        <v>1435</v>
      </c>
      <c r="F13" s="1179">
        <f>E13/D13</f>
        <v>1.8516129032258064</v>
      </c>
      <c r="G13" s="1180">
        <f>'6 ZČ odbory'!K76</f>
        <v>200</v>
      </c>
      <c r="H13" s="1178">
        <f>'6 ZČ odbory'!L76</f>
        <v>0</v>
      </c>
      <c r="I13" s="1178">
        <f>'6 ZČ odbory'!M76</f>
        <v>0</v>
      </c>
      <c r="J13" s="1179">
        <v>0</v>
      </c>
      <c r="K13" s="1181">
        <f t="shared" si="1"/>
        <v>975</v>
      </c>
      <c r="L13" s="1163">
        <f t="shared" si="1"/>
        <v>775</v>
      </c>
      <c r="M13" s="1163">
        <f t="shared" si="1"/>
        <v>1435</v>
      </c>
      <c r="N13" s="1182">
        <f t="shared" si="2"/>
        <v>1.8516129032258064</v>
      </c>
    </row>
    <row r="14" spans="1:14" ht="15">
      <c r="A14" s="1562"/>
      <c r="B14" s="1176" t="s">
        <v>14</v>
      </c>
      <c r="C14" s="1177">
        <f>'5 ZČ SF'!BI17</f>
        <v>5585.8</v>
      </c>
      <c r="D14" s="1178">
        <f>'5 ZČ SF'!BJ17</f>
        <v>6718.2</v>
      </c>
      <c r="E14" s="1178">
        <f>'5 ZČ SF'!BK17</f>
        <v>6549</v>
      </c>
      <c r="F14" s="1179">
        <f>E14/D14</f>
        <v>0.9748146825042422</v>
      </c>
      <c r="G14" s="1180">
        <f>'6 ZČ odbory'!K77</f>
        <v>9782.4</v>
      </c>
      <c r="H14" s="1178">
        <f>'6 ZČ odbory'!L77</f>
        <v>6483.4</v>
      </c>
      <c r="I14" s="1178">
        <f>'6 ZČ odbory'!M77</f>
        <v>2998</v>
      </c>
      <c r="J14" s="1179">
        <f t="shared" si="0"/>
        <v>0.4624116975660919</v>
      </c>
      <c r="K14" s="1181">
        <f t="shared" si="1"/>
        <v>15368.2</v>
      </c>
      <c r="L14" s="1163">
        <f t="shared" si="1"/>
        <v>13201.599999999999</v>
      </c>
      <c r="M14" s="1163">
        <f t="shared" si="1"/>
        <v>9547</v>
      </c>
      <c r="N14" s="1182">
        <f t="shared" si="2"/>
        <v>0.7231699187977215</v>
      </c>
    </row>
    <row r="15" spans="1:14" ht="15">
      <c r="A15" s="1562"/>
      <c r="B15" s="1176" t="s">
        <v>176</v>
      </c>
      <c r="C15" s="1177">
        <f>'5 ZČ SF'!BI18</f>
        <v>0</v>
      </c>
      <c r="D15" s="1178">
        <f>'5 ZČ SF'!BJ18</f>
        <v>0</v>
      </c>
      <c r="E15" s="1178">
        <f>'5 ZČ SF'!BK18</f>
        <v>0</v>
      </c>
      <c r="F15" s="1179">
        <v>0</v>
      </c>
      <c r="G15" s="1180">
        <f>'6 ZČ odbory'!K78</f>
        <v>0</v>
      </c>
      <c r="H15" s="1178">
        <f>'6 ZČ odbory'!L78</f>
        <v>0</v>
      </c>
      <c r="I15" s="1178">
        <f>'6 ZČ odbory'!M78</f>
        <v>0</v>
      </c>
      <c r="J15" s="1179">
        <v>0</v>
      </c>
      <c r="K15" s="1181">
        <f t="shared" si="1"/>
        <v>0</v>
      </c>
      <c r="L15" s="1163">
        <f t="shared" si="1"/>
        <v>0</v>
      </c>
      <c r="M15" s="1163">
        <f t="shared" si="1"/>
        <v>0</v>
      </c>
      <c r="N15" s="1182">
        <v>0</v>
      </c>
    </row>
    <row r="16" spans="1:14" ht="15">
      <c r="A16" s="1562"/>
      <c r="B16" s="1176" t="s">
        <v>177</v>
      </c>
      <c r="C16" s="1177">
        <f>'5 ZČ SF'!BI19</f>
        <v>0</v>
      </c>
      <c r="D16" s="1178">
        <f>'5 ZČ SF'!BJ19</f>
        <v>0</v>
      </c>
      <c r="E16" s="1178">
        <f>'5 ZČ SF'!BK19</f>
        <v>0</v>
      </c>
      <c r="F16" s="1179">
        <v>0</v>
      </c>
      <c r="G16" s="1180">
        <f>'6 ZČ odbory'!K79</f>
        <v>21000</v>
      </c>
      <c r="H16" s="1178">
        <f>'6 ZČ odbory'!L79</f>
        <v>21000</v>
      </c>
      <c r="I16" s="1178">
        <f>'6 ZČ odbory'!M79</f>
        <v>21038</v>
      </c>
      <c r="J16" s="1179">
        <f t="shared" si="0"/>
        <v>1.0018095238095237</v>
      </c>
      <c r="K16" s="1181">
        <f t="shared" si="1"/>
        <v>21000</v>
      </c>
      <c r="L16" s="1163">
        <f t="shared" si="1"/>
        <v>21000</v>
      </c>
      <c r="M16" s="1163">
        <f t="shared" si="1"/>
        <v>21038</v>
      </c>
      <c r="N16" s="1182">
        <f t="shared" si="2"/>
        <v>1.0018095238095237</v>
      </c>
    </row>
    <row r="17" spans="1:14" ht="15">
      <c r="A17" s="1562"/>
      <c r="B17" s="1176" t="s">
        <v>44</v>
      </c>
      <c r="C17" s="1177">
        <f>'5 ZČ SF'!BI20</f>
        <v>7116</v>
      </c>
      <c r="D17" s="1178">
        <f>'5 ZČ SF'!BJ20</f>
        <v>7116</v>
      </c>
      <c r="E17" s="1178">
        <f>'5 ZČ SF'!BK20</f>
        <v>45502</v>
      </c>
      <c r="F17" s="1179">
        <f>E17/D17</f>
        <v>6.394322653175942</v>
      </c>
      <c r="G17" s="1180">
        <f>'6 ZČ odbory'!K80</f>
        <v>22821</v>
      </c>
      <c r="H17" s="1178">
        <f>'6 ZČ odbory'!L80</f>
        <v>22521</v>
      </c>
      <c r="I17" s="1178">
        <f>'6 ZČ odbory'!M80</f>
        <v>23095</v>
      </c>
      <c r="J17" s="1179">
        <f t="shared" si="0"/>
        <v>1.025487322943031</v>
      </c>
      <c r="K17" s="1181">
        <f t="shared" si="1"/>
        <v>29937</v>
      </c>
      <c r="L17" s="1163">
        <f t="shared" si="1"/>
        <v>29637</v>
      </c>
      <c r="M17" s="1163">
        <f t="shared" si="1"/>
        <v>68597</v>
      </c>
      <c r="N17" s="1182">
        <f t="shared" si="2"/>
        <v>2.3145729999662583</v>
      </c>
    </row>
    <row r="18" spans="1:14" ht="15">
      <c r="A18" s="1562"/>
      <c r="B18" s="1176" t="s">
        <v>15</v>
      </c>
      <c r="C18" s="1177">
        <f>'5 ZČ SF'!BI21</f>
        <v>4125.8</v>
      </c>
      <c r="D18" s="1178">
        <f>'5 ZČ SF'!BJ21</f>
        <v>4525.8</v>
      </c>
      <c r="E18" s="1178">
        <f>'5 ZČ SF'!BK21</f>
        <v>3862</v>
      </c>
      <c r="F18" s="1179">
        <f>E18/D18</f>
        <v>0.8533297980467541</v>
      </c>
      <c r="G18" s="1180">
        <f>'6 ZČ odbory'!K81</f>
        <v>100</v>
      </c>
      <c r="H18" s="1178">
        <f>'6 ZČ odbory'!L81</f>
        <v>100</v>
      </c>
      <c r="I18" s="1178">
        <f>'6 ZČ odbory'!M81</f>
        <v>0</v>
      </c>
      <c r="J18" s="1179">
        <f t="shared" si="0"/>
        <v>0</v>
      </c>
      <c r="K18" s="1181">
        <f t="shared" si="1"/>
        <v>4225.8</v>
      </c>
      <c r="L18" s="1163">
        <f t="shared" si="1"/>
        <v>4625.8</v>
      </c>
      <c r="M18" s="1163">
        <f t="shared" si="1"/>
        <v>3862</v>
      </c>
      <c r="N18" s="1182">
        <f t="shared" si="2"/>
        <v>0.8348826148990445</v>
      </c>
    </row>
    <row r="19" spans="1:14" ht="15">
      <c r="A19" s="1562"/>
      <c r="B19" s="1162" t="s">
        <v>136</v>
      </c>
      <c r="C19" s="1177">
        <f>'5 ZČ SF'!BI22</f>
        <v>0</v>
      </c>
      <c r="D19" s="1178">
        <f>'5 ZČ SF'!BJ22</f>
        <v>0</v>
      </c>
      <c r="E19" s="1178">
        <f>'5 ZČ SF'!BK22</f>
        <v>0</v>
      </c>
      <c r="F19" s="1179">
        <v>0</v>
      </c>
      <c r="G19" s="1180">
        <f>'6 ZČ odbory'!K82</f>
        <v>1000</v>
      </c>
      <c r="H19" s="1178">
        <f>'6 ZČ odbory'!L82</f>
        <v>1000</v>
      </c>
      <c r="I19" s="1178">
        <f>'6 ZČ odbory'!M82</f>
        <v>167</v>
      </c>
      <c r="J19" s="1179">
        <f t="shared" si="0"/>
        <v>0.167</v>
      </c>
      <c r="K19" s="1181">
        <f t="shared" si="1"/>
        <v>1000</v>
      </c>
      <c r="L19" s="1163">
        <f t="shared" si="1"/>
        <v>1000</v>
      </c>
      <c r="M19" s="1163">
        <f t="shared" si="1"/>
        <v>167</v>
      </c>
      <c r="N19" s="1182">
        <f t="shared" si="2"/>
        <v>0.167</v>
      </c>
    </row>
    <row r="20" spans="1:14" ht="15">
      <c r="A20" s="1562"/>
      <c r="B20" s="1176" t="s">
        <v>16</v>
      </c>
      <c r="C20" s="1177">
        <f>'5 ZČ SF'!BI23</f>
        <v>0</v>
      </c>
      <c r="D20" s="1178">
        <f>'5 ZČ SF'!BJ23</f>
        <v>0</v>
      </c>
      <c r="E20" s="1178">
        <f>'5 ZČ SF'!BK23</f>
        <v>0</v>
      </c>
      <c r="F20" s="1179">
        <v>0</v>
      </c>
      <c r="G20" s="1180">
        <f>'6 ZČ odbory'!K83</f>
        <v>10000</v>
      </c>
      <c r="H20" s="1178">
        <f>'6 ZČ odbory'!L83</f>
        <v>14500</v>
      </c>
      <c r="I20" s="1178">
        <f>'6 ZČ odbory'!M83</f>
        <v>17339</v>
      </c>
      <c r="J20" s="1179">
        <f t="shared" si="0"/>
        <v>1.1957931034482758</v>
      </c>
      <c r="K20" s="1181">
        <f t="shared" si="1"/>
        <v>10000</v>
      </c>
      <c r="L20" s="1163">
        <f t="shared" si="1"/>
        <v>14500</v>
      </c>
      <c r="M20" s="1163">
        <f t="shared" si="1"/>
        <v>17339</v>
      </c>
      <c r="N20" s="1182">
        <f t="shared" si="2"/>
        <v>1.1957931034482758</v>
      </c>
    </row>
    <row r="21" spans="1:14" ht="15">
      <c r="A21" s="1562"/>
      <c r="B21" s="1176" t="s">
        <v>178</v>
      </c>
      <c r="C21" s="1177">
        <f>'5 ZČ SF'!BI24</f>
        <v>0</v>
      </c>
      <c r="D21" s="1178">
        <f>'5 ZČ SF'!BJ24</f>
        <v>0</v>
      </c>
      <c r="E21" s="1178">
        <f>'5 ZČ SF'!BK24</f>
        <v>0</v>
      </c>
      <c r="F21" s="1179">
        <v>0</v>
      </c>
      <c r="G21" s="1180">
        <f>'6 ZČ odbory'!K84</f>
        <v>280000</v>
      </c>
      <c r="H21" s="1178">
        <f>'6 ZČ odbory'!L84</f>
        <v>510000</v>
      </c>
      <c r="I21" s="1178">
        <f>'6 ZČ odbory'!M84</f>
        <v>762407</v>
      </c>
      <c r="J21" s="1179">
        <f t="shared" si="0"/>
        <v>1.4949156862745099</v>
      </c>
      <c r="K21" s="1181">
        <f t="shared" si="1"/>
        <v>280000</v>
      </c>
      <c r="L21" s="1163">
        <f t="shared" si="1"/>
        <v>510000</v>
      </c>
      <c r="M21" s="1163">
        <f t="shared" si="1"/>
        <v>762407</v>
      </c>
      <c r="N21" s="1182">
        <f t="shared" si="2"/>
        <v>1.4949156862745099</v>
      </c>
    </row>
    <row r="22" spans="1:14" ht="15">
      <c r="A22" s="1562"/>
      <c r="B22" s="1162" t="s">
        <v>133</v>
      </c>
      <c r="C22" s="1177">
        <f>'5 ZČ SF'!BI25</f>
        <v>0</v>
      </c>
      <c r="D22" s="1178">
        <f>'5 ZČ SF'!BJ25</f>
        <v>0</v>
      </c>
      <c r="E22" s="1178">
        <f>'5 ZČ SF'!BK25</f>
        <v>0</v>
      </c>
      <c r="F22" s="1179">
        <v>0</v>
      </c>
      <c r="G22" s="1180">
        <f>'6 ZČ odbory'!K85</f>
        <v>70000</v>
      </c>
      <c r="H22" s="1178">
        <f>'6 ZČ odbory'!L85</f>
        <v>120000</v>
      </c>
      <c r="I22" s="1178">
        <f>'6 ZČ odbory'!M85</f>
        <v>127508</v>
      </c>
      <c r="J22" s="1179">
        <f t="shared" si="0"/>
        <v>1.0625666666666667</v>
      </c>
      <c r="K22" s="1181">
        <f t="shared" si="1"/>
        <v>70000</v>
      </c>
      <c r="L22" s="1163">
        <f t="shared" si="1"/>
        <v>120000</v>
      </c>
      <c r="M22" s="1163">
        <f t="shared" si="1"/>
        <v>127508</v>
      </c>
      <c r="N22" s="1182">
        <f t="shared" si="2"/>
        <v>1.0625666666666667</v>
      </c>
    </row>
    <row r="23" spans="1:14" ht="15">
      <c r="A23" s="1562"/>
      <c r="B23" s="1183" t="s">
        <v>132</v>
      </c>
      <c r="C23" s="1184">
        <f>'5 ZČ SF'!BI26</f>
        <v>0</v>
      </c>
      <c r="D23" s="1167">
        <f>'5 ZČ SF'!BJ26</f>
        <v>0</v>
      </c>
      <c r="E23" s="1185">
        <f>'5 ZČ SF'!BK26</f>
        <v>0</v>
      </c>
      <c r="F23" s="1186">
        <v>0</v>
      </c>
      <c r="G23" s="1187">
        <f>'6 ZČ odbory'!K86</f>
        <v>0</v>
      </c>
      <c r="H23" s="1185">
        <f>'6 ZČ odbory'!L86</f>
        <v>0</v>
      </c>
      <c r="I23" s="1185">
        <f>'6 ZČ odbory'!M86</f>
        <v>-24343</v>
      </c>
      <c r="J23" s="1186">
        <v>0</v>
      </c>
      <c r="K23" s="1188">
        <f t="shared" si="1"/>
        <v>0</v>
      </c>
      <c r="L23" s="1189">
        <f t="shared" si="1"/>
        <v>0</v>
      </c>
      <c r="M23" s="1163">
        <f t="shared" si="1"/>
        <v>-24343</v>
      </c>
      <c r="N23" s="1190">
        <v>0</v>
      </c>
    </row>
    <row r="24" spans="1:15" ht="27.75" customHeight="1">
      <c r="A24" s="1563"/>
      <c r="B24" s="1191" t="s">
        <v>42</v>
      </c>
      <c r="C24" s="1192">
        <f>SUM(C8:C23)</f>
        <v>114022.3</v>
      </c>
      <c r="D24" s="1193">
        <f>SUM(D8:D23)</f>
        <v>134156</v>
      </c>
      <c r="E24" s="1193">
        <f>SUM(E8:E23)</f>
        <v>114635</v>
      </c>
      <c r="F24" s="1194">
        <f>E24/D24</f>
        <v>0.8544902948805868</v>
      </c>
      <c r="G24" s="1192">
        <f>SUM(G8:G23)</f>
        <v>437303.4</v>
      </c>
      <c r="H24" s="1193">
        <f>SUM(H8:H23)</f>
        <v>707304.4</v>
      </c>
      <c r="I24" s="1195">
        <f>SUM(I8:I23)</f>
        <v>940371</v>
      </c>
      <c r="J24" s="1194">
        <f t="shared" si="0"/>
        <v>1.3295138557034283</v>
      </c>
      <c r="K24" s="1196">
        <f>SUM(K8:K23)</f>
        <v>551325.7</v>
      </c>
      <c r="L24" s="1195">
        <f>SUM(L8:L23)</f>
        <v>841460.4</v>
      </c>
      <c r="M24" s="1195">
        <f>SUM(M8:M23)</f>
        <v>1055006</v>
      </c>
      <c r="N24" s="1197">
        <f t="shared" si="2"/>
        <v>1.253779738179004</v>
      </c>
      <c r="O24" s="1152"/>
    </row>
    <row r="25" spans="1:14" ht="15">
      <c r="A25" s="1561" t="s">
        <v>39</v>
      </c>
      <c r="B25" s="1158" t="s">
        <v>7</v>
      </c>
      <c r="C25" s="1172">
        <f>'5 ZČ SF'!BI28</f>
        <v>43067</v>
      </c>
      <c r="D25" s="1159">
        <f>'5 ZČ SF'!BJ28</f>
        <v>47567</v>
      </c>
      <c r="E25" s="1159">
        <f>'5 ZČ SF'!BK28</f>
        <v>50159</v>
      </c>
      <c r="F25" s="1171">
        <f>E25/D25</f>
        <v>1.0544915592742867</v>
      </c>
      <c r="G25" s="1172">
        <f>'6 ZČ odbory'!K88</f>
        <v>4500</v>
      </c>
      <c r="H25" s="1159">
        <f>'6 ZČ odbory'!L88</f>
        <v>4500</v>
      </c>
      <c r="I25" s="1185">
        <f>'6 ZČ odbory'!M88</f>
        <v>3617</v>
      </c>
      <c r="J25" s="1171">
        <f t="shared" si="0"/>
        <v>0.8037777777777778</v>
      </c>
      <c r="K25" s="1198">
        <f aca="true" t="shared" si="3" ref="K25:M36">C25+G25</f>
        <v>47567</v>
      </c>
      <c r="L25" s="1167">
        <f t="shared" si="3"/>
        <v>52067</v>
      </c>
      <c r="M25" s="1167">
        <f t="shared" si="3"/>
        <v>53776</v>
      </c>
      <c r="N25" s="1186">
        <f t="shared" si="2"/>
        <v>1.032823093322066</v>
      </c>
    </row>
    <row r="26" spans="1:14" ht="15">
      <c r="A26" s="1562"/>
      <c r="B26" s="1176" t="s">
        <v>19</v>
      </c>
      <c r="C26" s="1180">
        <f>'5 ZČ SF'!BI29</f>
        <v>87371.3</v>
      </c>
      <c r="D26" s="1178">
        <f>'5 ZČ SF'!BJ29</f>
        <v>86370</v>
      </c>
      <c r="E26" s="1178">
        <f>'5 ZČ SF'!BK29</f>
        <v>80016</v>
      </c>
      <c r="F26" s="1179">
        <f>E26/D26</f>
        <v>0.9264327891629038</v>
      </c>
      <c r="G26" s="1180">
        <f>'6 ZČ odbory'!K89</f>
        <v>7020</v>
      </c>
      <c r="H26" s="1178">
        <f>'6 ZČ odbory'!L89</f>
        <v>8381.3</v>
      </c>
      <c r="I26" s="1178">
        <f>'6 ZČ odbory'!M89</f>
        <v>8936</v>
      </c>
      <c r="J26" s="1179">
        <f t="shared" si="0"/>
        <v>1.0661830503621157</v>
      </c>
      <c r="K26" s="1181">
        <f t="shared" si="3"/>
        <v>94391.3</v>
      </c>
      <c r="L26" s="1163">
        <f t="shared" si="3"/>
        <v>94751.3</v>
      </c>
      <c r="M26" s="1163">
        <f t="shared" si="3"/>
        <v>88952</v>
      </c>
      <c r="N26" s="1182">
        <f t="shared" si="2"/>
        <v>0.938794507304913</v>
      </c>
    </row>
    <row r="27" spans="1:14" ht="15">
      <c r="A27" s="1562"/>
      <c r="B27" s="1176" t="s">
        <v>8</v>
      </c>
      <c r="C27" s="1180">
        <f>'5 ZČ SF'!BI30</f>
        <v>0</v>
      </c>
      <c r="D27" s="1178">
        <f>'5 ZČ SF'!BJ30</f>
        <v>0</v>
      </c>
      <c r="E27" s="1178">
        <f>'5 ZČ SF'!BK30</f>
        <v>584</v>
      </c>
      <c r="F27" s="1179">
        <v>0</v>
      </c>
      <c r="G27" s="1180">
        <f>'6 ZČ odbory'!K90</f>
        <v>1700</v>
      </c>
      <c r="H27" s="1178">
        <f>'6 ZČ odbory'!L90</f>
        <v>2300</v>
      </c>
      <c r="I27" s="1178">
        <f>'6 ZČ odbory'!M90</f>
        <v>2239</v>
      </c>
      <c r="J27" s="1179">
        <f t="shared" si="0"/>
        <v>0.9734782608695652</v>
      </c>
      <c r="K27" s="1181">
        <f t="shared" si="3"/>
        <v>1700</v>
      </c>
      <c r="L27" s="1163">
        <f t="shared" si="3"/>
        <v>2300</v>
      </c>
      <c r="M27" s="1163">
        <f t="shared" si="3"/>
        <v>2823</v>
      </c>
      <c r="N27" s="1182">
        <f t="shared" si="2"/>
        <v>1.2273913043478262</v>
      </c>
    </row>
    <row r="28" spans="1:14" ht="15">
      <c r="A28" s="1562"/>
      <c r="B28" s="1176" t="s">
        <v>9</v>
      </c>
      <c r="C28" s="1180">
        <f>'5 ZČ SF'!BI31</f>
        <v>682</v>
      </c>
      <c r="D28" s="1178">
        <f>'5 ZČ SF'!BJ31</f>
        <v>682</v>
      </c>
      <c r="E28" s="1178">
        <f>'5 ZČ SF'!BK31</f>
        <v>201</v>
      </c>
      <c r="F28" s="1179">
        <f>E28/D28</f>
        <v>0.29472140762463345</v>
      </c>
      <c r="G28" s="1180">
        <f>'6 ZČ odbory'!K91</f>
        <v>300</v>
      </c>
      <c r="H28" s="1178">
        <f>'6 ZČ odbory'!L91</f>
        <v>300</v>
      </c>
      <c r="I28" s="1178">
        <f>'6 ZČ odbory'!M91</f>
        <v>857</v>
      </c>
      <c r="J28" s="1179">
        <f t="shared" si="0"/>
        <v>2.8566666666666665</v>
      </c>
      <c r="K28" s="1181">
        <f t="shared" si="3"/>
        <v>982</v>
      </c>
      <c r="L28" s="1163">
        <f t="shared" si="3"/>
        <v>982</v>
      </c>
      <c r="M28" s="1163">
        <f t="shared" si="3"/>
        <v>1058</v>
      </c>
      <c r="N28" s="1182">
        <f t="shared" si="2"/>
        <v>1.0773930753564154</v>
      </c>
    </row>
    <row r="29" spans="1:14" ht="15">
      <c r="A29" s="1562"/>
      <c r="B29" s="1176" t="s">
        <v>47</v>
      </c>
      <c r="C29" s="1180">
        <f>'5 ZČ SF'!BI32</f>
        <v>2668</v>
      </c>
      <c r="D29" s="1178">
        <f>'5 ZČ SF'!BJ32</f>
        <v>2668</v>
      </c>
      <c r="E29" s="1178">
        <f>'5 ZČ SF'!BK32</f>
        <v>5506</v>
      </c>
      <c r="F29" s="1179">
        <f>E29/D29</f>
        <v>2.0637181409295353</v>
      </c>
      <c r="G29" s="1180">
        <f>'6 ZČ odbory'!K92</f>
        <v>4237.3</v>
      </c>
      <c r="H29" s="1178">
        <f>'6 ZČ odbory'!L92</f>
        <v>4573.3</v>
      </c>
      <c r="I29" s="1178">
        <f>'6 ZČ odbory'!M92</f>
        <v>4902</v>
      </c>
      <c r="J29" s="1179">
        <f t="shared" si="0"/>
        <v>1.071873701703365</v>
      </c>
      <c r="K29" s="1181">
        <f t="shared" si="3"/>
        <v>6905.3</v>
      </c>
      <c r="L29" s="1163">
        <f t="shared" si="3"/>
        <v>7241.3</v>
      </c>
      <c r="M29" s="1163">
        <f t="shared" si="3"/>
        <v>10408</v>
      </c>
      <c r="N29" s="1182">
        <f t="shared" si="2"/>
        <v>1.437310980072639</v>
      </c>
    </row>
    <row r="30" spans="1:14" ht="15">
      <c r="A30" s="1562"/>
      <c r="B30" s="1176" t="s">
        <v>45</v>
      </c>
      <c r="C30" s="1180">
        <f>'5 ZČ SF'!BI33</f>
        <v>0</v>
      </c>
      <c r="D30" s="1178">
        <f>'5 ZČ SF'!BJ33</f>
        <v>0</v>
      </c>
      <c r="E30" s="1178">
        <f>'5 ZČ SF'!BK33</f>
        <v>0</v>
      </c>
      <c r="F30" s="1179">
        <v>0</v>
      </c>
      <c r="G30" s="1180">
        <f>'6 ZČ odbory'!K93</f>
        <v>280000</v>
      </c>
      <c r="H30" s="1178">
        <f>'6 ZČ odbory'!L93</f>
        <v>567390</v>
      </c>
      <c r="I30" s="1178">
        <f>'6 ZČ odbory'!M93</f>
        <v>766054</v>
      </c>
      <c r="J30" s="1179">
        <f t="shared" si="0"/>
        <v>1.350136590352315</v>
      </c>
      <c r="K30" s="1181">
        <f t="shared" si="3"/>
        <v>280000</v>
      </c>
      <c r="L30" s="1163">
        <f t="shared" si="3"/>
        <v>567390</v>
      </c>
      <c r="M30" s="1163">
        <f t="shared" si="3"/>
        <v>766054</v>
      </c>
      <c r="N30" s="1182">
        <f t="shared" si="2"/>
        <v>1.350136590352315</v>
      </c>
    </row>
    <row r="31" spans="1:14" ht="15">
      <c r="A31" s="1562"/>
      <c r="B31" s="1176" t="s">
        <v>461</v>
      </c>
      <c r="C31" s="1180">
        <f>'5 ZČ SF'!BI34</f>
        <v>0</v>
      </c>
      <c r="D31" s="1178">
        <f>'5 ZČ SF'!BJ34</f>
        <v>0</v>
      </c>
      <c r="E31" s="1178">
        <f>'5 ZČ SF'!BK34</f>
        <v>0</v>
      </c>
      <c r="F31" s="1179">
        <v>0</v>
      </c>
      <c r="G31" s="1180">
        <f>'6 ZČ odbory'!K94</f>
        <v>76700</v>
      </c>
      <c r="H31" s="1178">
        <f>'6 ZČ odbory'!L94</f>
        <v>150685</v>
      </c>
      <c r="I31" s="1178">
        <f>'6 ZČ odbory'!M94</f>
        <v>168491</v>
      </c>
      <c r="J31" s="1179">
        <f t="shared" si="0"/>
        <v>1.1181670371968013</v>
      </c>
      <c r="K31" s="1181">
        <f t="shared" si="3"/>
        <v>76700</v>
      </c>
      <c r="L31" s="1163">
        <f t="shared" si="3"/>
        <v>150685</v>
      </c>
      <c r="M31" s="1163">
        <f t="shared" si="3"/>
        <v>168491</v>
      </c>
      <c r="N31" s="1182">
        <f t="shared" si="2"/>
        <v>1.1181670371968013</v>
      </c>
    </row>
    <row r="32" spans="1:14" ht="15">
      <c r="A32" s="1562"/>
      <c r="B32" s="1176" t="s">
        <v>228</v>
      </c>
      <c r="C32" s="1180">
        <f>'5 ZČ SF'!BI35</f>
        <v>0</v>
      </c>
      <c r="D32" s="1178">
        <f>'5 ZČ SF'!BJ35</f>
        <v>0</v>
      </c>
      <c r="E32" s="1178">
        <f>'5 ZČ SF'!BK35</f>
        <v>0</v>
      </c>
      <c r="F32" s="1179">
        <v>0</v>
      </c>
      <c r="G32" s="1180">
        <f>'6 ZČ odbory'!K95</f>
        <v>0</v>
      </c>
      <c r="H32" s="1178">
        <f>'6 ZČ odbory'!L95</f>
        <v>0</v>
      </c>
      <c r="I32" s="1178">
        <f>'6 ZČ odbory'!M95</f>
        <v>0</v>
      </c>
      <c r="J32" s="1179">
        <v>0</v>
      </c>
      <c r="K32" s="1181">
        <f t="shared" si="3"/>
        <v>0</v>
      </c>
      <c r="L32" s="1163">
        <f t="shared" si="3"/>
        <v>0</v>
      </c>
      <c r="M32" s="1163">
        <f t="shared" si="3"/>
        <v>0</v>
      </c>
      <c r="N32" s="1182">
        <v>0</v>
      </c>
    </row>
    <row r="33" spans="1:14" ht="15">
      <c r="A33" s="1562"/>
      <c r="B33" s="1176" t="s">
        <v>10</v>
      </c>
      <c r="C33" s="1180">
        <f>'5 ZČ SF'!BI36</f>
        <v>5580</v>
      </c>
      <c r="D33" s="1178">
        <f>'5 ZČ SF'!BJ36</f>
        <v>5580</v>
      </c>
      <c r="E33" s="1178">
        <f>'5 ZČ SF'!BK36</f>
        <v>33213</v>
      </c>
      <c r="F33" s="1179">
        <f>E33/D33</f>
        <v>5.952150537634409</v>
      </c>
      <c r="G33" s="1180">
        <f>'6 ZČ odbory'!K96</f>
        <v>190</v>
      </c>
      <c r="H33" s="1178">
        <f>'6 ZČ odbory'!L96</f>
        <v>190</v>
      </c>
      <c r="I33" s="1178">
        <f>'6 ZČ odbory'!M96</f>
        <v>7</v>
      </c>
      <c r="J33" s="1179">
        <f t="shared" si="0"/>
        <v>0.03684210526315789</v>
      </c>
      <c r="K33" s="1181">
        <f t="shared" si="3"/>
        <v>5770</v>
      </c>
      <c r="L33" s="1163">
        <f t="shared" si="3"/>
        <v>5770</v>
      </c>
      <c r="M33" s="1163">
        <f t="shared" si="3"/>
        <v>33220</v>
      </c>
      <c r="N33" s="1182">
        <f t="shared" si="2"/>
        <v>5.75736568457539</v>
      </c>
    </row>
    <row r="34" spans="1:14" ht="15">
      <c r="A34" s="1562"/>
      <c r="B34" s="1176" t="s">
        <v>46</v>
      </c>
      <c r="C34" s="1180">
        <f>'5 ZČ SF'!BI37</f>
        <v>0</v>
      </c>
      <c r="D34" s="1178">
        <f>'5 ZČ SF'!BJ37</f>
        <v>0</v>
      </c>
      <c r="E34" s="1178">
        <f>'5 ZČ SF'!BK37</f>
        <v>0</v>
      </c>
      <c r="F34" s="1179">
        <v>0</v>
      </c>
      <c r="G34" s="1180">
        <f>'6 ZČ odbory'!K97</f>
        <v>1000</v>
      </c>
      <c r="H34" s="1178">
        <f>'6 ZČ odbory'!L97</f>
        <v>1000</v>
      </c>
      <c r="I34" s="1178">
        <f>'6 ZČ odbory'!M97</f>
        <v>3391</v>
      </c>
      <c r="J34" s="1179">
        <f t="shared" si="0"/>
        <v>3.391</v>
      </c>
      <c r="K34" s="1181">
        <f t="shared" si="3"/>
        <v>1000</v>
      </c>
      <c r="L34" s="1163">
        <f t="shared" si="3"/>
        <v>1000</v>
      </c>
      <c r="M34" s="1163">
        <f t="shared" si="3"/>
        <v>3391</v>
      </c>
      <c r="N34" s="1182">
        <f t="shared" si="2"/>
        <v>3.391</v>
      </c>
    </row>
    <row r="35" spans="1:14" ht="15">
      <c r="A35" s="1562"/>
      <c r="B35" s="1199" t="s">
        <v>135</v>
      </c>
      <c r="C35" s="1180">
        <f>'5 ZČ SF'!BI38</f>
        <v>0</v>
      </c>
      <c r="D35" s="1178">
        <f>'5 ZČ SF'!BJ38</f>
        <v>0</v>
      </c>
      <c r="E35" s="1178">
        <f>'5 ZČ SF'!BK38</f>
        <v>0</v>
      </c>
      <c r="F35" s="1179">
        <v>0</v>
      </c>
      <c r="G35" s="1180">
        <f>'6 ZČ odbory'!K98</f>
        <v>220000</v>
      </c>
      <c r="H35" s="1178">
        <f>'6 ZČ odbory'!L98</f>
        <v>450000</v>
      </c>
      <c r="I35" s="1178">
        <f>'6 ZČ odbory'!M98</f>
        <v>810080</v>
      </c>
      <c r="J35" s="1179">
        <f t="shared" si="0"/>
        <v>1.8001777777777779</v>
      </c>
      <c r="K35" s="1181">
        <f t="shared" si="3"/>
        <v>220000</v>
      </c>
      <c r="L35" s="1163">
        <f t="shared" si="3"/>
        <v>450000</v>
      </c>
      <c r="M35" s="1163">
        <f t="shared" si="3"/>
        <v>810080</v>
      </c>
      <c r="N35" s="1182">
        <f t="shared" si="2"/>
        <v>1.8001777777777779</v>
      </c>
    </row>
    <row r="36" spans="1:14" ht="15">
      <c r="A36" s="1562"/>
      <c r="B36" s="1200" t="s">
        <v>482</v>
      </c>
      <c r="C36" s="1187">
        <f>'5 ZČ SF'!BI39</f>
        <v>0</v>
      </c>
      <c r="D36" s="1185">
        <f>'5 ZČ SF'!BJ39</f>
        <v>0</v>
      </c>
      <c r="E36" s="1185">
        <f>'5 ZČ SF'!BK39</f>
        <v>0</v>
      </c>
      <c r="F36" s="1201">
        <v>0</v>
      </c>
      <c r="G36" s="1187">
        <f>'6 ZČ odbory'!K99</f>
        <v>0</v>
      </c>
      <c r="H36" s="1185">
        <f>'6 ZČ odbory'!L99</f>
        <v>0</v>
      </c>
      <c r="I36" s="1167">
        <f>'6 ZČ odbory'!M99</f>
        <v>-169070</v>
      </c>
      <c r="J36" s="1186">
        <v>0</v>
      </c>
      <c r="K36" s="1202">
        <v>0</v>
      </c>
      <c r="L36" s="1203">
        <v>0</v>
      </c>
      <c r="M36" s="1163">
        <f t="shared" si="3"/>
        <v>-169070</v>
      </c>
      <c r="N36" s="1182">
        <v>0</v>
      </c>
    </row>
    <row r="37" spans="1:14" ht="33" customHeight="1">
      <c r="A37" s="1563"/>
      <c r="B37" s="1204" t="s">
        <v>42</v>
      </c>
      <c r="C37" s="1192">
        <f>SUM(C25:C36)</f>
        <v>139368.3</v>
      </c>
      <c r="D37" s="1193">
        <f>SUM(D25:D36)</f>
        <v>142867</v>
      </c>
      <c r="E37" s="1193">
        <f>SUM(E25:E36)</f>
        <v>169679</v>
      </c>
      <c r="F37" s="1194">
        <f>E37/D37</f>
        <v>1.187671050697502</v>
      </c>
      <c r="G37" s="1192">
        <f>SUM(G25:G36)</f>
        <v>595647.3</v>
      </c>
      <c r="H37" s="1193">
        <f>SUM(H25:H36)</f>
        <v>1189319.6</v>
      </c>
      <c r="I37" s="1193">
        <f>SUM(I25:I36)</f>
        <v>1599504</v>
      </c>
      <c r="J37" s="1194">
        <f>I37/H37</f>
        <v>1.3448899690209426</v>
      </c>
      <c r="K37" s="1196">
        <f>SUM(K25:K36)</f>
        <v>735015.6</v>
      </c>
      <c r="L37" s="1195">
        <f>D37+H37</f>
        <v>1332186.6</v>
      </c>
      <c r="M37" s="1195">
        <f>E37+I37</f>
        <v>1769183</v>
      </c>
      <c r="N37" s="1197">
        <f>M37/L37</f>
        <v>1.3280294217041366</v>
      </c>
    </row>
    <row r="38" spans="1:14" ht="37.5" customHeight="1">
      <c r="A38" s="1564" t="s">
        <v>41</v>
      </c>
      <c r="B38" s="1565"/>
      <c r="C38" s="1205">
        <f>C37-C24</f>
        <v>25345.999999999985</v>
      </c>
      <c r="D38" s="1206">
        <f aca="true" t="shared" si="4" ref="D38:M38">D37-D24</f>
        <v>8711</v>
      </c>
      <c r="E38" s="1206">
        <f t="shared" si="4"/>
        <v>55044</v>
      </c>
      <c r="F38" s="1207">
        <f>E38/D38</f>
        <v>6.318907128917461</v>
      </c>
      <c r="G38" s="1206">
        <f t="shared" si="4"/>
        <v>158343.90000000002</v>
      </c>
      <c r="H38" s="1206">
        <f t="shared" si="4"/>
        <v>482015.20000000007</v>
      </c>
      <c r="I38" s="1206">
        <f t="shared" si="4"/>
        <v>659133</v>
      </c>
      <c r="J38" s="1207">
        <f>I38/H38</f>
        <v>1.3674527276318256</v>
      </c>
      <c r="K38" s="1206">
        <f t="shared" si="4"/>
        <v>183689.90000000002</v>
      </c>
      <c r="L38" s="1206">
        <f t="shared" si="4"/>
        <v>490726.20000000007</v>
      </c>
      <c r="M38" s="1206">
        <f t="shared" si="4"/>
        <v>714177</v>
      </c>
      <c r="N38" s="1207">
        <f>M38/L38</f>
        <v>1.455347197683759</v>
      </c>
    </row>
    <row r="39" spans="6:7" ht="15">
      <c r="F39" s="1153"/>
      <c r="G39" s="1154"/>
    </row>
  </sheetData>
  <sheetProtection/>
  <mergeCells count="16">
    <mergeCell ref="A25:A37"/>
    <mergeCell ref="A38:B38"/>
    <mergeCell ref="A1:L1"/>
    <mergeCell ref="M1:N1"/>
    <mergeCell ref="A2:B3"/>
    <mergeCell ref="C2:F2"/>
    <mergeCell ref="G2:J2"/>
    <mergeCell ref="K2:N2"/>
    <mergeCell ref="N4:N7"/>
    <mergeCell ref="A8:A24"/>
    <mergeCell ref="A4:A7"/>
    <mergeCell ref="C4:D7"/>
    <mergeCell ref="F4:F7"/>
    <mergeCell ref="G4:H7"/>
    <mergeCell ref="J4:J7"/>
    <mergeCell ref="K4:L7"/>
  </mergeCells>
  <printOptions horizontalCentered="1"/>
  <pageMargins left="0.4724409448818898" right="0.4724409448818898" top="0.4330708661417323" bottom="0.2755905511811024" header="0.2362204724409449" footer="0.1968503937007874"/>
  <pageSetup horizontalDpi="600" verticalDpi="600" orientation="landscape" paperSize="9" scale="77" r:id="rId1"/>
  <headerFooter>
    <oddFooter>&amp;LZávěrečný účet za rok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96" zoomScalePageLayoutView="85" workbookViewId="0" topLeftCell="A1">
      <pane ySplit="4" topLeftCell="A23" activePane="bottomLeft" state="frozen"/>
      <selection pane="topLeft" activeCell="A1" sqref="A1"/>
      <selection pane="bottomLeft" activeCell="R28" sqref="R28"/>
    </sheetView>
  </sheetViews>
  <sheetFormatPr defaultColWidth="9.00390625" defaultRowHeight="12.75"/>
  <cols>
    <col min="1" max="1" width="20.875" style="753" customWidth="1"/>
    <col min="2" max="2" width="10.00390625" style="753" customWidth="1"/>
    <col min="3" max="3" width="10.25390625" style="753" customWidth="1"/>
    <col min="4" max="4" width="8.75390625" style="753" customWidth="1"/>
    <col min="5" max="6" width="10.75390625" style="753" customWidth="1"/>
    <col min="7" max="7" width="8.875" style="753" customWidth="1"/>
    <col min="8" max="8" width="9.00390625" style="753" customWidth="1"/>
    <col min="9" max="9" width="11.25390625" style="753" customWidth="1"/>
    <col min="10" max="11" width="10.75390625" style="753" customWidth="1"/>
    <col min="12" max="12" width="9.125" style="753" customWidth="1"/>
    <col min="13" max="13" width="11.25390625" style="753" customWidth="1"/>
    <col min="14" max="14" width="10.75390625" style="753" customWidth="1"/>
    <col min="15" max="15" width="9.625" style="753" customWidth="1"/>
    <col min="16" max="16" width="13.375" style="753" customWidth="1"/>
    <col min="17" max="16384" width="9.125" style="753" customWidth="1"/>
  </cols>
  <sheetData>
    <row r="1" spans="1:16" ht="56.25" customHeight="1">
      <c r="A1" s="1580" t="s">
        <v>743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  <c r="N1" s="1580"/>
      <c r="O1" s="1580"/>
      <c r="P1" s="1247" t="s">
        <v>319</v>
      </c>
    </row>
    <row r="2" spans="1:16" ht="24" customHeight="1">
      <c r="A2" s="1581" t="s">
        <v>63</v>
      </c>
      <c r="B2" s="1584" t="s">
        <v>64</v>
      </c>
      <c r="C2" s="1585"/>
      <c r="D2" s="1585"/>
      <c r="E2" s="1585"/>
      <c r="F2" s="1585"/>
      <c r="G2" s="1585"/>
      <c r="H2" s="1585"/>
      <c r="I2" s="1585"/>
      <c r="J2" s="1586" t="s">
        <v>65</v>
      </c>
      <c r="K2" s="1585"/>
      <c r="L2" s="1585"/>
      <c r="M2" s="1585"/>
      <c r="N2" s="1585"/>
      <c r="O2" s="1585"/>
      <c r="P2" s="1587"/>
    </row>
    <row r="3" spans="1:16" ht="21.75" customHeight="1">
      <c r="A3" s="1582"/>
      <c r="B3" s="1588" t="s">
        <v>66</v>
      </c>
      <c r="C3" s="1589"/>
      <c r="D3" s="1590"/>
      <c r="E3" s="1588" t="s">
        <v>67</v>
      </c>
      <c r="F3" s="1589"/>
      <c r="G3" s="1589"/>
      <c r="H3" s="1591" t="s">
        <v>605</v>
      </c>
      <c r="I3" s="1591" t="s">
        <v>186</v>
      </c>
      <c r="J3" s="1588" t="s">
        <v>66</v>
      </c>
      <c r="K3" s="1589"/>
      <c r="L3" s="1590"/>
      <c r="M3" s="1588" t="s">
        <v>67</v>
      </c>
      <c r="N3" s="1589"/>
      <c r="O3" s="1589"/>
      <c r="P3" s="1581" t="s">
        <v>68</v>
      </c>
    </row>
    <row r="4" spans="1:16" ht="45" customHeight="1" thickBot="1">
      <c r="A4" s="1583"/>
      <c r="B4" s="1248" t="s">
        <v>69</v>
      </c>
      <c r="C4" s="1248" t="s">
        <v>29</v>
      </c>
      <c r="D4" s="1248" t="s">
        <v>70</v>
      </c>
      <c r="E4" s="1248" t="s">
        <v>69</v>
      </c>
      <c r="F4" s="1248" t="s">
        <v>29</v>
      </c>
      <c r="G4" s="1249" t="s">
        <v>71</v>
      </c>
      <c r="H4" s="1592"/>
      <c r="I4" s="1592"/>
      <c r="J4" s="1248" t="s">
        <v>69</v>
      </c>
      <c r="K4" s="1248" t="s">
        <v>29</v>
      </c>
      <c r="L4" s="1248" t="s">
        <v>70</v>
      </c>
      <c r="M4" s="1248" t="s">
        <v>69</v>
      </c>
      <c r="N4" s="1248" t="s">
        <v>29</v>
      </c>
      <c r="O4" s="1249" t="s">
        <v>71</v>
      </c>
      <c r="P4" s="1595"/>
    </row>
    <row r="5" spans="1:16" ht="16.5" customHeight="1">
      <c r="A5" s="1213" t="s">
        <v>72</v>
      </c>
      <c r="B5" s="1035">
        <v>20543.3</v>
      </c>
      <c r="C5" s="1035">
        <v>20542.7</v>
      </c>
      <c r="D5" s="1214">
        <f aca="true" t="shared" si="0" ref="D5:D31">C5/B5</f>
        <v>0.9999707933973607</v>
      </c>
      <c r="E5" s="1035">
        <v>20543.3</v>
      </c>
      <c r="F5" s="1035">
        <v>20542.7</v>
      </c>
      <c r="G5" s="1215">
        <f>F5/E5</f>
        <v>0.9999707933973607</v>
      </c>
      <c r="H5" s="1040"/>
      <c r="I5" s="1216">
        <f aca="true" t="shared" si="1" ref="I5:I16">F5-C5</f>
        <v>0</v>
      </c>
      <c r="J5" s="1217">
        <v>1520</v>
      </c>
      <c r="K5" s="1217">
        <v>2902.5</v>
      </c>
      <c r="L5" s="1218">
        <f>K5/J5</f>
        <v>1.9095394736842106</v>
      </c>
      <c r="M5" s="1217">
        <v>1520</v>
      </c>
      <c r="N5" s="1217">
        <v>3172.6</v>
      </c>
      <c r="O5" s="1218">
        <f>N5/M5</f>
        <v>2.087236842105263</v>
      </c>
      <c r="P5" s="1217">
        <f aca="true" t="shared" si="2" ref="P5:P16">N5-K5</f>
        <v>270.0999999999999</v>
      </c>
    </row>
    <row r="6" spans="1:17" ht="16.5" customHeight="1">
      <c r="A6" s="1210" t="s">
        <v>472</v>
      </c>
      <c r="B6" s="1032">
        <v>26701.2</v>
      </c>
      <c r="C6" s="1032">
        <v>26641.2</v>
      </c>
      <c r="D6" s="1219">
        <f t="shared" si="0"/>
        <v>0.9977529099815738</v>
      </c>
      <c r="E6" s="1032">
        <v>26701.2</v>
      </c>
      <c r="F6" s="1032">
        <v>26682.6</v>
      </c>
      <c r="G6" s="1220">
        <f aca="true" t="shared" si="3" ref="G6:G30">F6/E6</f>
        <v>0.9993034020942878</v>
      </c>
      <c r="H6" s="1039">
        <v>0</v>
      </c>
      <c r="I6" s="1221">
        <f t="shared" si="1"/>
        <v>41.39999999999782</v>
      </c>
      <c r="J6" s="1222">
        <v>2442.9</v>
      </c>
      <c r="K6" s="1032">
        <v>2442.6</v>
      </c>
      <c r="L6" s="1219">
        <f aca="true" t="shared" si="4" ref="L6:L35">K6/J6</f>
        <v>0.9998771951369273</v>
      </c>
      <c r="M6" s="1032">
        <v>3208.1</v>
      </c>
      <c r="N6" s="1032">
        <v>3208.2</v>
      </c>
      <c r="O6" s="1219">
        <f aca="true" t="shared" si="5" ref="O6:O30">N6/M6</f>
        <v>1.0000311710981578</v>
      </c>
      <c r="P6" s="1032">
        <f>N6-K6</f>
        <v>765.5999999999999</v>
      </c>
      <c r="Q6" s="809"/>
    </row>
    <row r="7" spans="1:16" ht="16.5" customHeight="1">
      <c r="A7" s="1223" t="s">
        <v>73</v>
      </c>
      <c r="B7" s="1032">
        <v>11489.3</v>
      </c>
      <c r="C7" s="1032">
        <v>11021.6</v>
      </c>
      <c r="D7" s="1219">
        <f t="shared" si="0"/>
        <v>0.9592925591637438</v>
      </c>
      <c r="E7" s="1032">
        <v>11489.3</v>
      </c>
      <c r="F7" s="1032">
        <v>11037.9</v>
      </c>
      <c r="G7" s="1220">
        <f t="shared" si="3"/>
        <v>0.9607112704864527</v>
      </c>
      <c r="H7" s="1039"/>
      <c r="I7" s="1221">
        <f t="shared" si="1"/>
        <v>16.299999999999272</v>
      </c>
      <c r="J7" s="1222">
        <v>1695</v>
      </c>
      <c r="K7" s="1032">
        <v>1646</v>
      </c>
      <c r="L7" s="1219">
        <f t="shared" si="4"/>
        <v>0.9710914454277286</v>
      </c>
      <c r="M7" s="1032">
        <v>1910</v>
      </c>
      <c r="N7" s="1032">
        <v>1892.3</v>
      </c>
      <c r="O7" s="1219">
        <f t="shared" si="5"/>
        <v>0.9907329842931937</v>
      </c>
      <c r="P7" s="1032">
        <f t="shared" si="2"/>
        <v>246.29999999999995</v>
      </c>
    </row>
    <row r="8" spans="1:16" ht="16.5" customHeight="1">
      <c r="A8" s="1223" t="s">
        <v>74</v>
      </c>
      <c r="B8" s="1032">
        <v>5740</v>
      </c>
      <c r="C8" s="1032">
        <v>5162.1</v>
      </c>
      <c r="D8" s="1219">
        <f t="shared" si="0"/>
        <v>0.8993205574912893</v>
      </c>
      <c r="E8" s="1032">
        <v>5740</v>
      </c>
      <c r="F8" s="1032">
        <v>5213.5</v>
      </c>
      <c r="G8" s="1220">
        <f t="shared" si="3"/>
        <v>0.9082752613240418</v>
      </c>
      <c r="H8" s="1039"/>
      <c r="I8" s="1221">
        <f t="shared" si="1"/>
        <v>51.399999999999636</v>
      </c>
      <c r="J8" s="1222">
        <v>179.5</v>
      </c>
      <c r="K8" s="1032">
        <v>179.6</v>
      </c>
      <c r="L8" s="1219">
        <f t="shared" si="4"/>
        <v>1.0005571030640668</v>
      </c>
      <c r="M8" s="1032">
        <v>640.8</v>
      </c>
      <c r="N8" s="1032">
        <v>640.8</v>
      </c>
      <c r="O8" s="1219">
        <f t="shared" si="5"/>
        <v>1</v>
      </c>
      <c r="P8" s="1032">
        <f t="shared" si="2"/>
        <v>461.19999999999993</v>
      </c>
    </row>
    <row r="9" spans="1:16" ht="16.5" customHeight="1">
      <c r="A9" s="1223" t="s">
        <v>473</v>
      </c>
      <c r="B9" s="1032">
        <v>13465.3</v>
      </c>
      <c r="C9" s="1032">
        <v>12812.7</v>
      </c>
      <c r="D9" s="1219">
        <f t="shared" si="0"/>
        <v>0.9515346854507513</v>
      </c>
      <c r="E9" s="1032">
        <v>13465.3</v>
      </c>
      <c r="F9" s="1032">
        <v>13025.3</v>
      </c>
      <c r="G9" s="1220">
        <f t="shared" si="3"/>
        <v>0.9673234164853364</v>
      </c>
      <c r="H9" s="1039">
        <v>92.6</v>
      </c>
      <c r="I9" s="1221">
        <f t="shared" si="1"/>
        <v>212.59999999999854</v>
      </c>
      <c r="J9" s="1222">
        <v>569.7</v>
      </c>
      <c r="K9" s="1032">
        <v>569.7</v>
      </c>
      <c r="L9" s="1219">
        <f t="shared" si="4"/>
        <v>1</v>
      </c>
      <c r="M9" s="1032">
        <v>901</v>
      </c>
      <c r="N9" s="1032">
        <v>901</v>
      </c>
      <c r="O9" s="1219">
        <f t="shared" si="5"/>
        <v>1</v>
      </c>
      <c r="P9" s="1032">
        <f t="shared" si="2"/>
        <v>331.29999999999995</v>
      </c>
    </row>
    <row r="10" spans="1:16" ht="16.5" customHeight="1">
      <c r="A10" s="1223" t="s">
        <v>75</v>
      </c>
      <c r="B10" s="1032">
        <v>10540.4</v>
      </c>
      <c r="C10" s="1032">
        <v>10540.1</v>
      </c>
      <c r="D10" s="1219">
        <f t="shared" si="0"/>
        <v>0.9999715380820463</v>
      </c>
      <c r="E10" s="1032">
        <v>10540.4</v>
      </c>
      <c r="F10" s="1032">
        <v>10540.4</v>
      </c>
      <c r="G10" s="1220">
        <f t="shared" si="3"/>
        <v>1</v>
      </c>
      <c r="H10" s="1039"/>
      <c r="I10" s="1221">
        <f t="shared" si="1"/>
        <v>0.2999999999992724</v>
      </c>
      <c r="J10" s="1222">
        <v>97.1</v>
      </c>
      <c r="K10" s="1032">
        <v>97</v>
      </c>
      <c r="L10" s="1219">
        <f t="shared" si="4"/>
        <v>0.9989701338825954</v>
      </c>
      <c r="M10" s="1032">
        <v>336.3</v>
      </c>
      <c r="N10" s="1032">
        <v>336.2</v>
      </c>
      <c r="O10" s="1219">
        <f t="shared" si="5"/>
        <v>0.999702646446625</v>
      </c>
      <c r="P10" s="1032">
        <f t="shared" si="2"/>
        <v>239.2</v>
      </c>
    </row>
    <row r="11" spans="1:16" ht="16.5" customHeight="1">
      <c r="A11" s="1223" t="s">
        <v>76</v>
      </c>
      <c r="B11" s="1032">
        <v>3827.8</v>
      </c>
      <c r="C11" s="1032">
        <v>3825.1</v>
      </c>
      <c r="D11" s="1219">
        <f t="shared" si="0"/>
        <v>0.9992946339934166</v>
      </c>
      <c r="E11" s="1032">
        <v>3827.8</v>
      </c>
      <c r="F11" s="1032">
        <v>3827.7</v>
      </c>
      <c r="G11" s="1220">
        <f t="shared" si="3"/>
        <v>0.9999738753330895</v>
      </c>
      <c r="H11" s="1039"/>
      <c r="I11" s="1221">
        <f t="shared" si="1"/>
        <v>2.599999999999909</v>
      </c>
      <c r="J11" s="1222">
        <v>202.4</v>
      </c>
      <c r="K11" s="1032">
        <v>202.5</v>
      </c>
      <c r="L11" s="1219">
        <f t="shared" si="4"/>
        <v>1.0004940711462451</v>
      </c>
      <c r="M11" s="1032">
        <v>458.3</v>
      </c>
      <c r="N11" s="1032">
        <v>458.3</v>
      </c>
      <c r="O11" s="1219">
        <f t="shared" si="5"/>
        <v>1</v>
      </c>
      <c r="P11" s="1032">
        <f t="shared" si="2"/>
        <v>255.8</v>
      </c>
    </row>
    <row r="12" spans="1:16" ht="16.5" customHeight="1">
      <c r="A12" s="1223" t="s">
        <v>77</v>
      </c>
      <c r="B12" s="1032">
        <v>10550</v>
      </c>
      <c r="C12" s="1032">
        <v>10278.7</v>
      </c>
      <c r="D12" s="1219">
        <f t="shared" si="0"/>
        <v>0.9742843601895735</v>
      </c>
      <c r="E12" s="1032">
        <v>10550</v>
      </c>
      <c r="F12" s="1032">
        <v>10279.9</v>
      </c>
      <c r="G12" s="1220">
        <f t="shared" si="3"/>
        <v>0.9743981042654029</v>
      </c>
      <c r="H12" s="1039"/>
      <c r="I12" s="1221">
        <f t="shared" si="1"/>
        <v>1.1999999999989086</v>
      </c>
      <c r="J12" s="1222">
        <v>438</v>
      </c>
      <c r="K12" s="1032">
        <v>406.4</v>
      </c>
      <c r="L12" s="1219">
        <f t="shared" si="4"/>
        <v>0.9278538812785387</v>
      </c>
      <c r="M12" s="1032">
        <v>700</v>
      </c>
      <c r="N12" s="1032">
        <v>607.9</v>
      </c>
      <c r="O12" s="1219">
        <f t="shared" si="5"/>
        <v>0.8684285714285714</v>
      </c>
      <c r="P12" s="1032">
        <f t="shared" si="2"/>
        <v>201.5</v>
      </c>
    </row>
    <row r="13" spans="1:16" ht="16.5" customHeight="1">
      <c r="A13" s="1223" t="s">
        <v>78</v>
      </c>
      <c r="B13" s="1032">
        <v>12380.4</v>
      </c>
      <c r="C13" s="1032">
        <v>9615.3</v>
      </c>
      <c r="D13" s="1219">
        <f t="shared" si="0"/>
        <v>0.7766550353785014</v>
      </c>
      <c r="E13" s="1032">
        <v>12380.4</v>
      </c>
      <c r="F13" s="1032">
        <v>12232.3</v>
      </c>
      <c r="G13" s="1220">
        <f t="shared" si="3"/>
        <v>0.9880375432134664</v>
      </c>
      <c r="H13" s="1039">
        <v>218</v>
      </c>
      <c r="I13" s="1221">
        <f t="shared" si="1"/>
        <v>2617</v>
      </c>
      <c r="J13" s="1222">
        <v>380</v>
      </c>
      <c r="K13" s="1032">
        <v>441.4</v>
      </c>
      <c r="L13" s="1219">
        <f t="shared" si="4"/>
        <v>1.161578947368421</v>
      </c>
      <c r="M13" s="1032">
        <v>581</v>
      </c>
      <c r="N13" s="1032">
        <v>727.7</v>
      </c>
      <c r="O13" s="1219">
        <f t="shared" si="5"/>
        <v>1.2524956970740104</v>
      </c>
      <c r="P13" s="1032">
        <f t="shared" si="2"/>
        <v>286.30000000000007</v>
      </c>
    </row>
    <row r="14" spans="1:16" ht="16.5" customHeight="1">
      <c r="A14" s="1223" t="s">
        <v>79</v>
      </c>
      <c r="B14" s="1032">
        <v>11051.8</v>
      </c>
      <c r="C14" s="1032">
        <v>11044.2</v>
      </c>
      <c r="D14" s="1219">
        <f t="shared" si="0"/>
        <v>0.9993123292133409</v>
      </c>
      <c r="E14" s="1032">
        <v>11051.8</v>
      </c>
      <c r="F14" s="1032">
        <v>11051.8</v>
      </c>
      <c r="G14" s="1220">
        <f t="shared" si="3"/>
        <v>1</v>
      </c>
      <c r="H14" s="1039"/>
      <c r="I14" s="1221">
        <f t="shared" si="1"/>
        <v>7.599999999998545</v>
      </c>
      <c r="J14" s="1222">
        <v>465</v>
      </c>
      <c r="K14" s="1032">
        <v>453.8</v>
      </c>
      <c r="L14" s="1219">
        <f>K14/J14</f>
        <v>0.9759139784946237</v>
      </c>
      <c r="M14" s="1032">
        <v>900</v>
      </c>
      <c r="N14" s="1032">
        <v>1000.4</v>
      </c>
      <c r="O14" s="1219">
        <f t="shared" si="5"/>
        <v>1.1115555555555556</v>
      </c>
      <c r="P14" s="1032">
        <f t="shared" si="2"/>
        <v>546.5999999999999</v>
      </c>
    </row>
    <row r="15" spans="1:16" ht="16.5" customHeight="1">
      <c r="A15" s="1223" t="s">
        <v>80</v>
      </c>
      <c r="B15" s="1032">
        <v>7976.3</v>
      </c>
      <c r="C15" s="1032">
        <v>7206.5</v>
      </c>
      <c r="D15" s="1219">
        <f t="shared" si="0"/>
        <v>0.9034890864185148</v>
      </c>
      <c r="E15" s="1032">
        <v>7976.3</v>
      </c>
      <c r="F15" s="1032">
        <v>7214</v>
      </c>
      <c r="G15" s="1220">
        <f t="shared" si="3"/>
        <v>0.9044293720145932</v>
      </c>
      <c r="H15" s="1039"/>
      <c r="I15" s="1221">
        <f t="shared" si="1"/>
        <v>7.5</v>
      </c>
      <c r="J15" s="1222">
        <v>80</v>
      </c>
      <c r="K15" s="1032">
        <v>6.6</v>
      </c>
      <c r="L15" s="1224">
        <f>K15/J15</f>
        <v>0.08249999999999999</v>
      </c>
      <c r="M15" s="1032">
        <v>120</v>
      </c>
      <c r="N15" s="1032">
        <v>164</v>
      </c>
      <c r="O15" s="1224">
        <f>SUM(N15/M15)</f>
        <v>1.3666666666666667</v>
      </c>
      <c r="P15" s="1032">
        <f t="shared" si="2"/>
        <v>157.4</v>
      </c>
    </row>
    <row r="16" spans="1:16" ht="16.5" customHeight="1" thickBot="1">
      <c r="A16" s="1210" t="s">
        <v>474</v>
      </c>
      <c r="B16" s="1225">
        <v>18116.2</v>
      </c>
      <c r="C16" s="1225">
        <v>18032.3</v>
      </c>
      <c r="D16" s="1226">
        <f t="shared" si="0"/>
        <v>0.995368785948488</v>
      </c>
      <c r="E16" s="1225">
        <v>18116.2</v>
      </c>
      <c r="F16" s="1225">
        <v>18046.3</v>
      </c>
      <c r="G16" s="1227">
        <f t="shared" si="3"/>
        <v>0.9961415749439727</v>
      </c>
      <c r="H16" s="1045"/>
      <c r="I16" s="1228">
        <f t="shared" si="1"/>
        <v>14</v>
      </c>
      <c r="J16" s="1225">
        <v>2693.2</v>
      </c>
      <c r="K16" s="1225">
        <v>1918.5</v>
      </c>
      <c r="L16" s="1226">
        <f t="shared" si="4"/>
        <v>0.7123496212683796</v>
      </c>
      <c r="M16" s="1225">
        <v>2890</v>
      </c>
      <c r="N16" s="1225">
        <v>2364.5</v>
      </c>
      <c r="O16" s="1226">
        <f t="shared" si="5"/>
        <v>0.818166089965398</v>
      </c>
      <c r="P16" s="1229">
        <f t="shared" si="2"/>
        <v>446</v>
      </c>
    </row>
    <row r="17" spans="1:16" s="1209" customFormat="1" ht="24" customHeight="1" thickBot="1">
      <c r="A17" s="1211" t="s">
        <v>82</v>
      </c>
      <c r="B17" s="1230">
        <f>SUM(B5:B16)</f>
        <v>152382</v>
      </c>
      <c r="C17" s="1230">
        <f>SUM(C5:C16)</f>
        <v>146722.5</v>
      </c>
      <c r="D17" s="1231">
        <f>C17/B17</f>
        <v>0.9628597865889672</v>
      </c>
      <c r="E17" s="1230">
        <f>SUM(E5:E16)</f>
        <v>152382</v>
      </c>
      <c r="F17" s="1230">
        <f>SUM(F5:F16)</f>
        <v>149694.39999999997</v>
      </c>
      <c r="G17" s="1232">
        <f>F17/E17</f>
        <v>0.9823627462561193</v>
      </c>
      <c r="H17" s="1233">
        <f>SUM(H5:H16)</f>
        <v>310.6</v>
      </c>
      <c r="I17" s="1234">
        <f>SUM(I5:I16)</f>
        <v>2971.899999999992</v>
      </c>
      <c r="J17" s="1235">
        <f>SUM(J5:J16)</f>
        <v>10762.8</v>
      </c>
      <c r="K17" s="1230">
        <f>SUM(K5:K16)</f>
        <v>11266.6</v>
      </c>
      <c r="L17" s="1236">
        <f t="shared" si="4"/>
        <v>1.0468093804586167</v>
      </c>
      <c r="M17" s="1230">
        <f>SUM(M5:M16)</f>
        <v>14165.5</v>
      </c>
      <c r="N17" s="1230">
        <f>SUM(N5:N16)</f>
        <v>15473.899999999998</v>
      </c>
      <c r="O17" s="1232">
        <f t="shared" si="5"/>
        <v>1.0923652536091206</v>
      </c>
      <c r="P17" s="1230">
        <f>SUM(P5:P16)</f>
        <v>4207.3</v>
      </c>
    </row>
    <row r="18" spans="1:16" ht="16.5" customHeight="1">
      <c r="A18" s="1237" t="s">
        <v>83</v>
      </c>
      <c r="B18" s="1035">
        <v>3637.3</v>
      </c>
      <c r="C18" s="1035">
        <v>3631.9</v>
      </c>
      <c r="D18" s="1214">
        <f t="shared" si="0"/>
        <v>0.9985153822890606</v>
      </c>
      <c r="E18" s="1035">
        <v>3637.4</v>
      </c>
      <c r="F18" s="1035">
        <v>3637.2</v>
      </c>
      <c r="G18" s="1215">
        <f t="shared" si="3"/>
        <v>0.9999450156705338</v>
      </c>
      <c r="H18" s="1040"/>
      <c r="I18" s="1238">
        <f aca="true" t="shared" si="6" ref="I18:I27">F18-C18</f>
        <v>5.299999999999727</v>
      </c>
      <c r="J18" s="1035">
        <v>5.2</v>
      </c>
      <c r="K18" s="1035">
        <v>4.1</v>
      </c>
      <c r="L18" s="1214">
        <f t="shared" si="4"/>
        <v>0.7884615384615383</v>
      </c>
      <c r="M18" s="1035">
        <v>116.3</v>
      </c>
      <c r="N18" s="1035">
        <v>116.3</v>
      </c>
      <c r="O18" s="1214">
        <f t="shared" si="5"/>
        <v>1</v>
      </c>
      <c r="P18" s="1217">
        <f>N18-K18</f>
        <v>112.2</v>
      </c>
    </row>
    <row r="19" spans="1:16" ht="16.5" customHeight="1">
      <c r="A19" s="1223" t="s">
        <v>84</v>
      </c>
      <c r="B19" s="1032">
        <v>2213.2</v>
      </c>
      <c r="C19" s="1035">
        <v>2211</v>
      </c>
      <c r="D19" s="1219">
        <f t="shared" si="0"/>
        <v>0.9990059642147118</v>
      </c>
      <c r="E19" s="1035">
        <v>2213.2</v>
      </c>
      <c r="F19" s="1035">
        <v>2212.8</v>
      </c>
      <c r="G19" s="1220">
        <f t="shared" si="3"/>
        <v>0.9998192662208568</v>
      </c>
      <c r="H19" s="1039"/>
      <c r="I19" s="1221">
        <f t="shared" si="6"/>
        <v>1.800000000000182</v>
      </c>
      <c r="J19" s="1032">
        <v>10</v>
      </c>
      <c r="K19" s="1035">
        <v>7.7</v>
      </c>
      <c r="L19" s="1214">
        <f t="shared" si="4"/>
        <v>0.77</v>
      </c>
      <c r="M19" s="1035">
        <v>166</v>
      </c>
      <c r="N19" s="1035">
        <v>165</v>
      </c>
      <c r="O19" s="1219">
        <f t="shared" si="5"/>
        <v>0.9939759036144579</v>
      </c>
      <c r="P19" s="1032">
        <f aca="true" t="shared" si="7" ref="P19:P30">N19-K19</f>
        <v>157.3</v>
      </c>
    </row>
    <row r="20" spans="1:16" ht="16.5" customHeight="1">
      <c r="A20" s="1223" t="s">
        <v>85</v>
      </c>
      <c r="B20" s="1032">
        <v>2310.5</v>
      </c>
      <c r="C20" s="1035">
        <v>2246.4</v>
      </c>
      <c r="D20" s="1219">
        <f t="shared" si="0"/>
        <v>0.9722570872105605</v>
      </c>
      <c r="E20" s="1035">
        <v>2310.5</v>
      </c>
      <c r="F20" s="1035">
        <v>2250.2</v>
      </c>
      <c r="G20" s="1220">
        <f t="shared" si="3"/>
        <v>0.9739017528673447</v>
      </c>
      <c r="H20" s="1039"/>
      <c r="I20" s="1221">
        <f t="shared" si="6"/>
        <v>3.799999999999727</v>
      </c>
      <c r="J20" s="1032">
        <v>87.4</v>
      </c>
      <c r="K20" s="1035">
        <v>87.2</v>
      </c>
      <c r="L20" s="1214">
        <f t="shared" si="4"/>
        <v>0.9977116704805492</v>
      </c>
      <c r="M20" s="1035">
        <v>181.9</v>
      </c>
      <c r="N20" s="1035">
        <v>181.9</v>
      </c>
      <c r="O20" s="1219">
        <f t="shared" si="5"/>
        <v>1</v>
      </c>
      <c r="P20" s="1032">
        <f t="shared" si="7"/>
        <v>94.7</v>
      </c>
    </row>
    <row r="21" spans="1:16" ht="16.5" customHeight="1">
      <c r="A21" s="1223" t="s">
        <v>86</v>
      </c>
      <c r="B21" s="1032">
        <v>2790.9</v>
      </c>
      <c r="C21" s="1035">
        <v>2528.7</v>
      </c>
      <c r="D21" s="1219">
        <f t="shared" si="0"/>
        <v>0.9060518112436847</v>
      </c>
      <c r="E21" s="1035">
        <v>2790.9</v>
      </c>
      <c r="F21" s="1035">
        <v>2790.9</v>
      </c>
      <c r="G21" s="1220">
        <f t="shared" si="3"/>
        <v>1</v>
      </c>
      <c r="H21" s="1039"/>
      <c r="I21" s="1221">
        <f t="shared" si="6"/>
        <v>262.2000000000003</v>
      </c>
      <c r="J21" s="1032">
        <v>3.1</v>
      </c>
      <c r="K21" s="1035">
        <v>3.1</v>
      </c>
      <c r="L21" s="1214">
        <f t="shared" si="4"/>
        <v>1</v>
      </c>
      <c r="M21" s="1035">
        <v>108.3</v>
      </c>
      <c r="N21" s="1035">
        <v>108.3</v>
      </c>
      <c r="O21" s="1219">
        <f t="shared" si="5"/>
        <v>1</v>
      </c>
      <c r="P21" s="1032">
        <f t="shared" si="7"/>
        <v>105.2</v>
      </c>
    </row>
    <row r="22" spans="1:16" ht="16.5" customHeight="1">
      <c r="A22" s="1223" t="s">
        <v>87</v>
      </c>
      <c r="B22" s="1032">
        <v>3085.9</v>
      </c>
      <c r="C22" s="1035">
        <v>3151.8</v>
      </c>
      <c r="D22" s="1219">
        <f t="shared" si="0"/>
        <v>1.0213551962150427</v>
      </c>
      <c r="E22" s="1035">
        <v>3085.9</v>
      </c>
      <c r="F22" s="1035">
        <v>3164.7</v>
      </c>
      <c r="G22" s="1220">
        <f t="shared" si="3"/>
        <v>1.02553550017823</v>
      </c>
      <c r="H22" s="1039"/>
      <c r="I22" s="1221">
        <f t="shared" si="6"/>
        <v>12.899999999999636</v>
      </c>
      <c r="J22" s="1032">
        <v>28.4</v>
      </c>
      <c r="K22" s="1035">
        <v>27</v>
      </c>
      <c r="L22" s="1214">
        <f t="shared" si="4"/>
        <v>0.9507042253521127</v>
      </c>
      <c r="M22" s="1035">
        <v>138.9</v>
      </c>
      <c r="N22" s="1035">
        <v>138.8</v>
      </c>
      <c r="O22" s="1219">
        <f t="shared" si="5"/>
        <v>0.9992800575953924</v>
      </c>
      <c r="P22" s="1032">
        <f t="shared" si="7"/>
        <v>111.80000000000001</v>
      </c>
    </row>
    <row r="23" spans="1:16" ht="16.5" customHeight="1">
      <c r="A23" s="1223" t="s">
        <v>88</v>
      </c>
      <c r="B23" s="1032">
        <v>3571.6</v>
      </c>
      <c r="C23" s="1035">
        <v>3336.3</v>
      </c>
      <c r="D23" s="1219">
        <f t="shared" si="0"/>
        <v>0.9341191622802106</v>
      </c>
      <c r="E23" s="1035">
        <v>3571.6</v>
      </c>
      <c r="F23" s="1032">
        <v>3351.3</v>
      </c>
      <c r="G23" s="1220">
        <f t="shared" si="3"/>
        <v>0.938318960689887</v>
      </c>
      <c r="H23" s="1039"/>
      <c r="I23" s="1221">
        <f t="shared" si="6"/>
        <v>15</v>
      </c>
      <c r="J23" s="1032">
        <v>24.1</v>
      </c>
      <c r="K23" s="1035">
        <v>24</v>
      </c>
      <c r="L23" s="1214">
        <f t="shared" si="4"/>
        <v>0.9958506224066389</v>
      </c>
      <c r="M23" s="1035">
        <v>148.1</v>
      </c>
      <c r="N23" s="1032">
        <v>148.1</v>
      </c>
      <c r="O23" s="1219">
        <f t="shared" si="5"/>
        <v>1</v>
      </c>
      <c r="P23" s="1032">
        <f t="shared" si="7"/>
        <v>124.1</v>
      </c>
    </row>
    <row r="24" spans="1:16" ht="16.5" customHeight="1">
      <c r="A24" s="1223" t="s">
        <v>89</v>
      </c>
      <c r="B24" s="1032">
        <v>3340.9</v>
      </c>
      <c r="C24" s="1035">
        <v>3310.7</v>
      </c>
      <c r="D24" s="1219">
        <f t="shared" si="0"/>
        <v>0.9909605196204615</v>
      </c>
      <c r="E24" s="1035">
        <v>3340.9</v>
      </c>
      <c r="F24" s="1032">
        <v>3319.1</v>
      </c>
      <c r="G24" s="1220">
        <f t="shared" si="3"/>
        <v>0.9934748121763596</v>
      </c>
      <c r="H24" s="1039"/>
      <c r="I24" s="1221">
        <f t="shared" si="6"/>
        <v>8.400000000000091</v>
      </c>
      <c r="J24" s="1032">
        <v>37</v>
      </c>
      <c r="K24" s="1035">
        <v>36.2</v>
      </c>
      <c r="L24" s="1214">
        <f t="shared" si="4"/>
        <v>0.9783783783783785</v>
      </c>
      <c r="M24" s="1035">
        <v>127</v>
      </c>
      <c r="N24" s="1032">
        <v>139.9</v>
      </c>
      <c r="O24" s="1219">
        <f t="shared" si="5"/>
        <v>1.1015748031496064</v>
      </c>
      <c r="P24" s="1032">
        <f t="shared" si="7"/>
        <v>103.7</v>
      </c>
    </row>
    <row r="25" spans="1:16" ht="16.5" customHeight="1">
      <c r="A25" s="1223" t="s">
        <v>90</v>
      </c>
      <c r="B25" s="1032">
        <v>7528.3</v>
      </c>
      <c r="C25" s="1035">
        <v>7377.5</v>
      </c>
      <c r="D25" s="1219">
        <f t="shared" si="0"/>
        <v>0.9799689172854429</v>
      </c>
      <c r="E25" s="1035">
        <v>7528.3</v>
      </c>
      <c r="F25" s="1032">
        <v>7389.1</v>
      </c>
      <c r="G25" s="1220">
        <f t="shared" si="3"/>
        <v>0.9815097698019474</v>
      </c>
      <c r="H25" s="1039"/>
      <c r="I25" s="1221">
        <f t="shared" si="6"/>
        <v>11.600000000000364</v>
      </c>
      <c r="J25" s="1032">
        <v>15.2</v>
      </c>
      <c r="K25" s="1035">
        <v>15.2</v>
      </c>
      <c r="L25" s="1214">
        <f t="shared" si="4"/>
        <v>1</v>
      </c>
      <c r="M25" s="1035">
        <v>216.2</v>
      </c>
      <c r="N25" s="1032">
        <v>216.2</v>
      </c>
      <c r="O25" s="1219">
        <f t="shared" si="5"/>
        <v>1</v>
      </c>
      <c r="P25" s="1032">
        <f t="shared" si="7"/>
        <v>201</v>
      </c>
    </row>
    <row r="26" spans="1:16" ht="16.5" customHeight="1">
      <c r="A26" s="1223" t="s">
        <v>91</v>
      </c>
      <c r="B26" s="1032">
        <v>2900.6</v>
      </c>
      <c r="C26" s="1035">
        <v>2844.7</v>
      </c>
      <c r="D26" s="1219">
        <f t="shared" si="0"/>
        <v>0.9807281252154726</v>
      </c>
      <c r="E26" s="1035">
        <v>2900.6</v>
      </c>
      <c r="F26" s="1032">
        <v>2850.7</v>
      </c>
      <c r="G26" s="1220">
        <f t="shared" si="3"/>
        <v>0.982796662759429</v>
      </c>
      <c r="H26" s="1039"/>
      <c r="I26" s="1221">
        <f t="shared" si="6"/>
        <v>6</v>
      </c>
      <c r="J26" s="1032">
        <v>30.1</v>
      </c>
      <c r="K26" s="1035">
        <v>30.1</v>
      </c>
      <c r="L26" s="1214">
        <f t="shared" si="4"/>
        <v>1</v>
      </c>
      <c r="M26" s="1035">
        <v>202</v>
      </c>
      <c r="N26" s="1032">
        <v>202</v>
      </c>
      <c r="O26" s="1219">
        <f t="shared" si="5"/>
        <v>1</v>
      </c>
      <c r="P26" s="1032">
        <f t="shared" si="7"/>
        <v>171.9</v>
      </c>
    </row>
    <row r="27" spans="1:17" ht="16.5" customHeight="1">
      <c r="A27" s="1223" t="s">
        <v>92</v>
      </c>
      <c r="B27" s="1032">
        <v>3307.4</v>
      </c>
      <c r="C27" s="1035">
        <v>3125.8</v>
      </c>
      <c r="D27" s="1219">
        <f t="shared" si="0"/>
        <v>0.9450928221563767</v>
      </c>
      <c r="E27" s="1035">
        <v>3307.4</v>
      </c>
      <c r="F27" s="1032">
        <v>3125.8</v>
      </c>
      <c r="G27" s="1220">
        <f t="shared" si="3"/>
        <v>0.9450928221563767</v>
      </c>
      <c r="H27" s="1039">
        <v>81.7</v>
      </c>
      <c r="I27" s="1221">
        <f t="shared" si="6"/>
        <v>0</v>
      </c>
      <c r="J27" s="1032">
        <v>47.4</v>
      </c>
      <c r="K27" s="1035">
        <v>47.4</v>
      </c>
      <c r="L27" s="1214">
        <f t="shared" si="4"/>
        <v>1</v>
      </c>
      <c r="M27" s="1035">
        <v>176.1</v>
      </c>
      <c r="N27" s="1032">
        <v>176.1</v>
      </c>
      <c r="O27" s="1219">
        <f t="shared" si="5"/>
        <v>1</v>
      </c>
      <c r="P27" s="1032">
        <f t="shared" si="7"/>
        <v>128.7</v>
      </c>
      <c r="Q27" s="809"/>
    </row>
    <row r="28" spans="1:16" ht="16.5" customHeight="1">
      <c r="A28" s="1223" t="s">
        <v>93</v>
      </c>
      <c r="B28" s="1032">
        <v>3012.2</v>
      </c>
      <c r="C28" s="1035">
        <v>2987.7</v>
      </c>
      <c r="D28" s="1219">
        <f>C28/B28</f>
        <v>0.9918664099329394</v>
      </c>
      <c r="E28" s="1035">
        <v>3012.6</v>
      </c>
      <c r="F28" s="1032">
        <v>2987.7</v>
      </c>
      <c r="G28" s="1220">
        <f>F28/E28</f>
        <v>0.9917347142003584</v>
      </c>
      <c r="H28" s="1039"/>
      <c r="I28" s="1221">
        <v>1</v>
      </c>
      <c r="J28" s="1032">
        <v>194.5</v>
      </c>
      <c r="K28" s="1035">
        <v>194.5</v>
      </c>
      <c r="L28" s="1214">
        <f>K28/J28</f>
        <v>1</v>
      </c>
      <c r="M28" s="1035">
        <v>453</v>
      </c>
      <c r="N28" s="1032">
        <v>453</v>
      </c>
      <c r="O28" s="1219">
        <f>N28/M28</f>
        <v>1</v>
      </c>
      <c r="P28" s="1032">
        <f t="shared" si="7"/>
        <v>258.5</v>
      </c>
    </row>
    <row r="29" spans="1:16" ht="16.5" customHeight="1">
      <c r="A29" s="1223" t="s">
        <v>94</v>
      </c>
      <c r="B29" s="1032">
        <v>5840.2</v>
      </c>
      <c r="C29" s="1035">
        <v>5538.3</v>
      </c>
      <c r="D29" s="1219">
        <f t="shared" si="0"/>
        <v>0.9483065648436698</v>
      </c>
      <c r="E29" s="1035">
        <v>5840.3</v>
      </c>
      <c r="F29" s="1032">
        <v>5572</v>
      </c>
      <c r="G29" s="1220">
        <f t="shared" si="3"/>
        <v>0.9540605790798418</v>
      </c>
      <c r="H29" s="1039"/>
      <c r="I29" s="1221">
        <f>F29-C29</f>
        <v>33.69999999999982</v>
      </c>
      <c r="J29" s="1032">
        <v>120.1</v>
      </c>
      <c r="K29" s="1035">
        <v>120.1</v>
      </c>
      <c r="L29" s="1214">
        <f>K29/J29</f>
        <v>1</v>
      </c>
      <c r="M29" s="1035">
        <v>318.7</v>
      </c>
      <c r="N29" s="1032">
        <v>318.7</v>
      </c>
      <c r="O29" s="1219">
        <f t="shared" si="5"/>
        <v>1</v>
      </c>
      <c r="P29" s="1032">
        <f t="shared" si="7"/>
        <v>198.6</v>
      </c>
    </row>
    <row r="30" spans="1:16" ht="27.75" customHeight="1" thickBot="1">
      <c r="A30" s="1239" t="s">
        <v>95</v>
      </c>
      <c r="B30" s="1225">
        <v>2996.8</v>
      </c>
      <c r="C30" s="1240">
        <v>2886.5</v>
      </c>
      <c r="D30" s="1226">
        <f t="shared" si="0"/>
        <v>0.9631940736785904</v>
      </c>
      <c r="E30" s="1240">
        <v>2996.8</v>
      </c>
      <c r="F30" s="1225">
        <v>2890.1</v>
      </c>
      <c r="G30" s="1227">
        <f t="shared" si="3"/>
        <v>0.9643953550453817</v>
      </c>
      <c r="H30" s="1045"/>
      <c r="I30" s="1241">
        <f>F30-C30</f>
        <v>3.599999999999909</v>
      </c>
      <c r="J30" s="1225">
        <v>8.6</v>
      </c>
      <c r="K30" s="1240">
        <v>8.7</v>
      </c>
      <c r="L30" s="1214">
        <f t="shared" si="4"/>
        <v>1.0116279069767442</v>
      </c>
      <c r="M30" s="1240">
        <v>145.7</v>
      </c>
      <c r="N30" s="1225">
        <v>145.7</v>
      </c>
      <c r="O30" s="1226">
        <f t="shared" si="5"/>
        <v>1</v>
      </c>
      <c r="P30" s="1225">
        <f t="shared" si="7"/>
        <v>137</v>
      </c>
    </row>
    <row r="31" spans="1:16" ht="23.25" customHeight="1" thickBot="1">
      <c r="A31" s="1211" t="s">
        <v>96</v>
      </c>
      <c r="B31" s="1230">
        <f>SUM(B18:B30)</f>
        <v>46535.799999999996</v>
      </c>
      <c r="C31" s="1230">
        <f>SUM(C18:C30)</f>
        <v>45177.3</v>
      </c>
      <c r="D31" s="1236">
        <f t="shared" si="0"/>
        <v>0.9708074213831074</v>
      </c>
      <c r="E31" s="1230">
        <f>SUM(E18:E30)</f>
        <v>46536.4</v>
      </c>
      <c r="F31" s="1230">
        <f>SUM(F18:F30)</f>
        <v>45541.59999999999</v>
      </c>
      <c r="G31" s="1232">
        <f>F31/E31</f>
        <v>0.9786231852915135</v>
      </c>
      <c r="H31" s="1233">
        <f>SUM(H18:H30)</f>
        <v>81.7</v>
      </c>
      <c r="I31" s="1234">
        <f>SUM(I18:I30)</f>
        <v>365.2999999999997</v>
      </c>
      <c r="J31" s="1242">
        <f>SUM(J18:J30)</f>
        <v>611.1</v>
      </c>
      <c r="K31" s="1230">
        <f>SUM(K18:K30)</f>
        <v>605.3000000000001</v>
      </c>
      <c r="L31" s="1236">
        <f>K31/J31</f>
        <v>0.9905089183439699</v>
      </c>
      <c r="M31" s="1230">
        <f>SUM(M18:M30)</f>
        <v>2498.2</v>
      </c>
      <c r="N31" s="1230">
        <f>SUM(N18:N30)</f>
        <v>2509.9999999999995</v>
      </c>
      <c r="O31" s="1232">
        <f>N31/M31</f>
        <v>1.0047234008486108</v>
      </c>
      <c r="P31" s="1230">
        <f>SUM(P18:P30)</f>
        <v>1904.7</v>
      </c>
    </row>
    <row r="32" spans="1:16" s="1209" customFormat="1" ht="17.25" customHeight="1" thickBot="1">
      <c r="A32" s="1213" t="s">
        <v>97</v>
      </c>
      <c r="B32" s="1240">
        <v>42341.1</v>
      </c>
      <c r="C32" s="1240">
        <v>41487.9</v>
      </c>
      <c r="D32" s="1226">
        <f>C32/B32</f>
        <v>0.9798493662186387</v>
      </c>
      <c r="E32" s="1240">
        <v>42016.9</v>
      </c>
      <c r="F32" s="1240">
        <v>43201.4</v>
      </c>
      <c r="G32" s="1243">
        <f>F32/E32</f>
        <v>1.028191037415897</v>
      </c>
      <c r="H32" s="1244">
        <v>0</v>
      </c>
      <c r="I32" s="1241">
        <f>F32-C32</f>
        <v>1713.5</v>
      </c>
      <c r="J32" s="1240">
        <v>450</v>
      </c>
      <c r="K32" s="1240">
        <v>728.5</v>
      </c>
      <c r="L32" s="1245">
        <f>K32/J32</f>
        <v>1.6188888888888888</v>
      </c>
      <c r="M32" s="1240">
        <v>800</v>
      </c>
      <c r="N32" s="1244">
        <v>786.6</v>
      </c>
      <c r="O32" s="1243">
        <f>N32/M32</f>
        <v>0.9832500000000001</v>
      </c>
      <c r="P32" s="1246">
        <f>N32-K32</f>
        <v>58.10000000000002</v>
      </c>
    </row>
    <row r="33" spans="1:16" ht="17.25" customHeight="1" thickBot="1">
      <c r="A33" s="1210" t="s">
        <v>185</v>
      </c>
      <c r="B33" s="1225">
        <v>3618.6</v>
      </c>
      <c r="C33" s="1225">
        <v>3618.6</v>
      </c>
      <c r="D33" s="1226">
        <f>C33/B33</f>
        <v>1</v>
      </c>
      <c r="E33" s="1225">
        <v>3618.6</v>
      </c>
      <c r="F33" s="1225">
        <v>3618.6</v>
      </c>
      <c r="G33" s="1227">
        <f>F33/E33</f>
        <v>1</v>
      </c>
      <c r="H33" s="1045">
        <v>0</v>
      </c>
      <c r="I33" s="1241">
        <f>F33-C33</f>
        <v>0</v>
      </c>
      <c r="J33" s="1225">
        <v>0</v>
      </c>
      <c r="K33" s="1225">
        <v>-104.2</v>
      </c>
      <c r="L33" s="1245">
        <v>0</v>
      </c>
      <c r="M33" s="1225">
        <v>84</v>
      </c>
      <c r="N33" s="1045">
        <v>80.6</v>
      </c>
      <c r="O33" s="1226">
        <f>N33/M33</f>
        <v>0.9595238095238094</v>
      </c>
      <c r="P33" s="1225">
        <v>184.7</v>
      </c>
    </row>
    <row r="34" spans="1:16" ht="23.25" customHeight="1" thickBot="1">
      <c r="A34" s="1211" t="s">
        <v>184</v>
      </c>
      <c r="B34" s="1230">
        <f>SUM(B32:B33)</f>
        <v>45959.7</v>
      </c>
      <c r="C34" s="1230">
        <f>SUM(C32:C33)</f>
        <v>45106.5</v>
      </c>
      <c r="D34" s="1236">
        <f>C34/B34</f>
        <v>0.9814359101560716</v>
      </c>
      <c r="E34" s="1230">
        <f>SUM(E32:E33)</f>
        <v>45635.5</v>
      </c>
      <c r="F34" s="1230">
        <f>SUM(F32:F33)</f>
        <v>46820</v>
      </c>
      <c r="G34" s="1232">
        <f>F34/E34</f>
        <v>1.0259556704758357</v>
      </c>
      <c r="H34" s="1233">
        <f>SUM(H32:H33)</f>
        <v>0</v>
      </c>
      <c r="I34" s="1234">
        <f>SUM(I32:I33)</f>
        <v>1713.5</v>
      </c>
      <c r="J34" s="1242">
        <f>SUM(J32:J33)</f>
        <v>450</v>
      </c>
      <c r="K34" s="1230">
        <f>SUM(K32:K33)</f>
        <v>624.3</v>
      </c>
      <c r="L34" s="1236">
        <f t="shared" si="4"/>
        <v>1.3873333333333333</v>
      </c>
      <c r="M34" s="1230">
        <f>SUM(M32:M33)</f>
        <v>884</v>
      </c>
      <c r="N34" s="1230">
        <f>SUM(N32:N33)</f>
        <v>867.2</v>
      </c>
      <c r="O34" s="1236">
        <f>N34/M34</f>
        <v>0.9809954751131222</v>
      </c>
      <c r="P34" s="1230">
        <f>SUM(P32:P33)</f>
        <v>242.8</v>
      </c>
    </row>
    <row r="35" spans="1:16" ht="34.5" customHeight="1">
      <c r="A35" s="1250" t="s">
        <v>62</v>
      </c>
      <c r="B35" s="1251">
        <f>B17+B31+B34</f>
        <v>244877.5</v>
      </c>
      <c r="C35" s="1251">
        <f aca="true" t="shared" si="8" ref="C35:M35">C17+C31+C34</f>
        <v>237006.3</v>
      </c>
      <c r="D35" s="1252">
        <f>C35/B35</f>
        <v>0.9678565813519004</v>
      </c>
      <c r="E35" s="1251">
        <f t="shared" si="8"/>
        <v>244553.9</v>
      </c>
      <c r="F35" s="1251">
        <f t="shared" si="8"/>
        <v>242055.99999999994</v>
      </c>
      <c r="G35" s="1253">
        <f>F35/E35</f>
        <v>0.9897858917809119</v>
      </c>
      <c r="H35" s="1251">
        <f t="shared" si="8"/>
        <v>392.3</v>
      </c>
      <c r="I35" s="1251">
        <f t="shared" si="8"/>
        <v>5050.699999999992</v>
      </c>
      <c r="J35" s="1251">
        <f t="shared" si="8"/>
        <v>11823.9</v>
      </c>
      <c r="K35" s="1251">
        <f t="shared" si="8"/>
        <v>12496.199999999999</v>
      </c>
      <c r="L35" s="1252">
        <f t="shared" si="4"/>
        <v>1.05685941186918</v>
      </c>
      <c r="M35" s="1251">
        <f t="shared" si="8"/>
        <v>17547.7</v>
      </c>
      <c r="N35" s="1251">
        <f>N17+N31+N34</f>
        <v>18851.1</v>
      </c>
      <c r="O35" s="1252">
        <f>N35/M35</f>
        <v>1.0742775406463523</v>
      </c>
      <c r="P35" s="1251">
        <f>P17+P31+P34</f>
        <v>6354.8</v>
      </c>
    </row>
    <row r="36" spans="1:16" ht="17.25" customHeight="1">
      <c r="A36" s="1593"/>
      <c r="B36" s="1594"/>
      <c r="C36" s="1594"/>
      <c r="D36" s="1594"/>
      <c r="E36" s="1594"/>
      <c r="F36" s="1594"/>
      <c r="G36" s="1594"/>
      <c r="H36" s="1594"/>
      <c r="I36" s="1594"/>
      <c r="J36" s="1594"/>
      <c r="K36" s="1594"/>
      <c r="L36" s="1594"/>
      <c r="M36" s="1594"/>
      <c r="N36" s="1594"/>
      <c r="O36" s="1594"/>
      <c r="P36" s="1594"/>
    </row>
    <row r="37" spans="2:14" ht="18" customHeight="1">
      <c r="B37" s="1212"/>
      <c r="C37" s="1212"/>
      <c r="D37" s="1212"/>
      <c r="E37" s="1212"/>
      <c r="F37" s="1212"/>
      <c r="G37" s="1212"/>
      <c r="H37" s="1212"/>
      <c r="I37" s="1212"/>
      <c r="J37" s="1212"/>
      <c r="K37" s="1212"/>
      <c r="L37" s="1212"/>
      <c r="M37" s="1212"/>
      <c r="N37" s="1212"/>
    </row>
  </sheetData>
  <sheetProtection/>
  <mergeCells count="12">
    <mergeCell ref="A36:P36"/>
    <mergeCell ref="J3:L3"/>
    <mergeCell ref="M3:O3"/>
    <mergeCell ref="P3:P4"/>
    <mergeCell ref="H3:H4"/>
    <mergeCell ref="A1:O1"/>
    <mergeCell ref="A2:A4"/>
    <mergeCell ref="B2:I2"/>
    <mergeCell ref="J2:P2"/>
    <mergeCell ref="B3:D3"/>
    <mergeCell ref="E3:G3"/>
    <mergeCell ref="I3:I4"/>
  </mergeCells>
  <printOptions horizontalCentered="1"/>
  <pageMargins left="0.2362204724409449" right="0.15748031496062992" top="0.1968503937007874" bottom="0.03937007874015748" header="0.15748031496062992" footer="0.15748031496062992"/>
  <pageSetup fitToHeight="2" horizontalDpi="600" verticalDpi="600" orientation="landscape" paperSize="9" scale="80" r:id="rId1"/>
  <headerFooter>
    <oddFooter>&amp;L&amp;"Times New Roman,Obyčejné"&amp;8Závěrečný účet za rok 2018</oddFooter>
  </headerFooter>
  <ignoredErrors>
    <ignoredError sqref="L31 O15 L34 G34 D34 D31 I31 O34 O31:P31 G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Pražáková Marcela</dc:creator>
  <cp:keywords/>
  <dc:description/>
  <cp:lastModifiedBy>Caletková Kateřina</cp:lastModifiedBy>
  <cp:lastPrinted>2019-05-02T09:37:05Z</cp:lastPrinted>
  <dcterms:created xsi:type="dcterms:W3CDTF">2001-10-18T11:13:00Z</dcterms:created>
  <dcterms:modified xsi:type="dcterms:W3CDTF">2020-06-03T13:19:29Z</dcterms:modified>
  <cp:category/>
  <cp:version/>
  <cp:contentType/>
  <cp:contentStatus/>
</cp:coreProperties>
</file>